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vbaProject.bin" ContentType="application/vnd.ms-office.vbaProject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_SyncStick\________VNR-Rechner\20 - Rechner ALT\055 - LSt-Rechner\"/>
    </mc:Choice>
  </mc:AlternateContent>
  <xr:revisionPtr revIDLastSave="0" documentId="13_ncr:1_{C34636ED-6454-43ED-BABF-8D19DBC112E1}" xr6:coauthVersionLast="36" xr6:coauthVersionMax="47" xr10:uidLastSave="{00000000-0000-0000-0000-000000000000}"/>
  <bookViews>
    <workbookView xWindow="1080" yWindow="390" windowWidth="21960" windowHeight="11850" tabRatio="611" xr2:uid="{00000000-000D-0000-FFFF-FFFF00000000}"/>
  </bookViews>
  <sheets>
    <sheet name="Startseite" sheetId="29" r:id="rId1"/>
    <sheet name="Eingaben" sheetId="38" r:id="rId2"/>
    <sheet name="Berechnung" sheetId="40" r:id="rId3"/>
    <sheet name="Beispiel" sheetId="41" r:id="rId4"/>
    <sheet name="Parameter_Intern" sheetId="30" state="hidden" r:id="rId5"/>
    <sheet name="Hilfe" sheetId="5" r:id="rId6"/>
    <sheet name="LSTBerechnung2023_07" sheetId="52" state="hidden" r:id="rId7"/>
    <sheet name="Berechnung_Alt" sheetId="53" state="hidden" r:id="rId8"/>
    <sheet name="LSTBerechnung2023" sheetId="51" state="hidden" r:id="rId9"/>
    <sheet name="Berechnung_Gleitzone" sheetId="49" state="hidden" r:id="rId10"/>
    <sheet name="LSTBerechnung2021" sheetId="50" state="hidden" r:id="rId11"/>
    <sheet name="LSTBerechnung2020" sheetId="48" state="hidden" r:id="rId12"/>
    <sheet name="LSTBerechnung2015" sheetId="44" state="hidden" r:id="rId13"/>
    <sheet name="LSTBerechnung2014" sheetId="45" state="hidden" r:id="rId14"/>
    <sheet name="__Goal_Metadata" sheetId="42" state="veryHidden" r:id="rId15"/>
  </sheets>
  <externalReferences>
    <externalReference r:id="rId16"/>
    <externalReference r:id="rId17"/>
  </externalReferences>
  <definedNames>
    <definedName name="_KAW999929" hidden="1">__Goal_Metadata!$B$2</definedName>
    <definedName name="_KAW999934" hidden="1">__Goal_Metadata!$B$1</definedName>
    <definedName name="BearbJahr" localSheetId="9">'[1]Berechnung (2)'!$B$1</definedName>
    <definedName name="BearbJahr" localSheetId="11">LSTBerechnung2020!$B$1</definedName>
    <definedName name="BearbJahr" localSheetId="10">LSTBerechnung2021!$B$1</definedName>
    <definedName name="BearbJahr" localSheetId="8">LSTBerechnung2023!$B$1</definedName>
    <definedName name="BearbJahr" localSheetId="6">LSTBerechnung2023_07!$B$1</definedName>
    <definedName name="BearbJahr">'[2]Berechnung (2)'!$B$1</definedName>
    <definedName name="BeispielB2" localSheetId="7">#REF!</definedName>
    <definedName name="BeispielB2" localSheetId="6">#REF!</definedName>
    <definedName name="BeispielB2">#REF!</definedName>
    <definedName name="BeispielB3">Beispiel!$B$3</definedName>
    <definedName name="BerechnungB2" localSheetId="7">#REF!</definedName>
    <definedName name="BerechnungB2" localSheetId="6">#REF!</definedName>
    <definedName name="BerechnungB2">#REF!</definedName>
    <definedName name="BerechnungB3" localSheetId="7">Berechnung_Alt!$B$4</definedName>
    <definedName name="BerechnungB3">Berechnung!$B$4</definedName>
    <definedName name="_xlnm.Print_Area" localSheetId="3">Beispiel!$B$3:$N$58</definedName>
    <definedName name="_xlnm.Print_Area" localSheetId="2">Berechnung!$B$4:$N$39</definedName>
    <definedName name="_xlnm.Print_Area" localSheetId="7">Berechnung_Alt!$B$4:$N$39</definedName>
    <definedName name="_xlnm.Print_Area" localSheetId="1">Eingaben!$B$3:$N$35</definedName>
    <definedName name="_xlnm.Print_Area" localSheetId="5">Hilfe!$B$3:$F$14</definedName>
    <definedName name="_xlnm.Print_Area" localSheetId="0">Startseite!$B$2:$J$19</definedName>
    <definedName name="EingabenB2" localSheetId="7">#REF!</definedName>
    <definedName name="EingabenB2" localSheetId="6">#REF!</definedName>
    <definedName name="EingabenB2">#REF!</definedName>
    <definedName name="EingabenB3" localSheetId="7">#REF!</definedName>
    <definedName name="EingabenB3" localSheetId="6">#REF!</definedName>
    <definedName name="EingabenB3">#REF!</definedName>
    <definedName name="HilfeB3">Hilfe!$B$3</definedName>
    <definedName name="HinweiseB3" localSheetId="0">#REF!</definedName>
    <definedName name="StartG10" localSheetId="7">#REF!</definedName>
    <definedName name="StartG10" localSheetId="6">#REF!</definedName>
    <definedName name="StartG10" localSheetId="0">Startseite!$H$10</definedName>
    <definedName name="StartG10">#REF!</definedName>
    <definedName name="Startseite" localSheetId="7">#REF!</definedName>
    <definedName name="Startseite" localSheetId="6">#REF!</definedName>
    <definedName name="Startseite" localSheetId="0">Startseite!$B$5</definedName>
    <definedName name="Startseite">#REF!</definedName>
    <definedName name="StartseiteB5">Startseite!$B$5</definedName>
    <definedName name="StartseiteG10" localSheetId="7">#REF!</definedName>
    <definedName name="StartseiteG10" localSheetId="6">#REF!</definedName>
    <definedName name="StartseiteG10">#REF!</definedName>
  </definedNames>
  <calcPr calcId="191029"/>
</workbook>
</file>

<file path=xl/calcChain.xml><?xml version="1.0" encoding="utf-8"?>
<calcChain xmlns="http://schemas.openxmlformats.org/spreadsheetml/2006/main">
  <c r="K16" i="38" l="1"/>
  <c r="K15" i="38" l="1"/>
  <c r="P15" i="38" l="1"/>
  <c r="I22" i="53" l="1"/>
  <c r="I13" i="53"/>
  <c r="C49" i="52" l="1"/>
  <c r="B33" i="52"/>
  <c r="C24" i="52"/>
  <c r="O18" i="52"/>
  <c r="C10" i="52"/>
  <c r="G6" i="52"/>
  <c r="G5" i="52"/>
  <c r="F4" i="52"/>
  <c r="G4" i="52" s="1"/>
  <c r="E1" i="52"/>
  <c r="G3" i="52" l="1"/>
  <c r="T24" i="38"/>
  <c r="P13" i="51"/>
  <c r="C5" i="49"/>
  <c r="T25" i="38"/>
  <c r="T23" i="38"/>
  <c r="T22" i="38"/>
  <c r="T21" i="38"/>
  <c r="T20" i="38"/>
  <c r="T19" i="38"/>
  <c r="T18" i="38"/>
  <c r="T17" i="38"/>
  <c r="T16" i="38"/>
  <c r="T15" i="38"/>
  <c r="T14" i="38"/>
  <c r="T13" i="38"/>
  <c r="T12" i="38"/>
  <c r="T11" i="38"/>
  <c r="T10" i="38"/>
  <c r="T9" i="38"/>
  <c r="T8" i="38"/>
  <c r="T7" i="38"/>
  <c r="O18" i="51"/>
  <c r="F4" i="51" l="1"/>
  <c r="G3" i="51" s="1"/>
  <c r="B33" i="51"/>
  <c r="G6" i="51"/>
  <c r="G5" i="51"/>
  <c r="C49" i="51"/>
  <c r="C24" i="51"/>
  <c r="E1" i="51"/>
  <c r="G4" i="51" l="1"/>
  <c r="V17" i="38"/>
  <c r="B33" i="50" l="1"/>
  <c r="T6" i="38"/>
  <c r="C49" i="50"/>
  <c r="C24" i="50"/>
  <c r="G6" i="50"/>
  <c r="G5" i="50"/>
  <c r="G4" i="50"/>
  <c r="G3" i="50"/>
  <c r="E1" i="50"/>
  <c r="W34" i="38"/>
  <c r="K18" i="38"/>
  <c r="K9" i="38"/>
  <c r="J6" i="49"/>
  <c r="E6" i="49"/>
  <c r="F6" i="49"/>
  <c r="J4" i="49"/>
  <c r="J3" i="49"/>
  <c r="V8" i="38"/>
  <c r="V13" i="38"/>
  <c r="K17" i="38"/>
  <c r="K14" i="38"/>
  <c r="K13" i="38"/>
  <c r="V20" i="38"/>
  <c r="V19" i="38"/>
  <c r="V18" i="38"/>
  <c r="V16" i="38"/>
  <c r="V15" i="38"/>
  <c r="V14" i="38"/>
  <c r="V12" i="38"/>
  <c r="V11" i="38"/>
  <c r="V10" i="38"/>
  <c r="V9" i="38"/>
  <c r="V7" i="38"/>
  <c r="V6" i="38"/>
  <c r="V5" i="38"/>
  <c r="P14" i="38"/>
  <c r="P13" i="38"/>
  <c r="C49" i="48"/>
  <c r="C24" i="48"/>
  <c r="G6" i="48"/>
  <c r="G5" i="48"/>
  <c r="E1" i="48"/>
  <c r="I31" i="44"/>
  <c r="I21" i="44"/>
  <c r="I25" i="44" s="1"/>
  <c r="I16" i="44"/>
  <c r="L90" i="45"/>
  <c r="L89" i="45"/>
  <c r="L85" i="45"/>
  <c r="L84" i="45"/>
  <c r="L78" i="45"/>
  <c r="L77" i="45"/>
  <c r="L70" i="45"/>
  <c r="L69" i="45"/>
  <c r="L68" i="45"/>
  <c r="L63" i="45"/>
  <c r="L53" i="45"/>
  <c r="L52" i="45"/>
  <c r="L51" i="45"/>
  <c r="L49" i="45"/>
  <c r="L48" i="45"/>
  <c r="L45" i="45"/>
  <c r="L44" i="45"/>
  <c r="L35" i="45"/>
  <c r="L34" i="45"/>
  <c r="L29" i="45"/>
  <c r="L27" i="45"/>
  <c r="L26" i="45"/>
  <c r="L23" i="45"/>
  <c r="L22" i="45"/>
  <c r="L15" i="45"/>
  <c r="K20" i="38"/>
  <c r="K19" i="38"/>
  <c r="K8" i="38"/>
  <c r="P16" i="38"/>
  <c r="D17" i="38" s="1"/>
  <c r="P10" i="38"/>
  <c r="L5" i="38"/>
  <c r="P6" i="38"/>
  <c r="L6" i="38" s="1"/>
  <c r="P9" i="38"/>
  <c r="L9" i="38" s="1"/>
  <c r="P12" i="38"/>
  <c r="L12" i="38" s="1"/>
  <c r="P7" i="38"/>
  <c r="L7" i="38" s="1"/>
  <c r="P18" i="38"/>
  <c r="L18" i="38" s="1"/>
  <c r="P19" i="38"/>
  <c r="L19" i="38" s="1"/>
  <c r="P20" i="38"/>
  <c r="L20" i="38" s="1"/>
  <c r="P11" i="38"/>
  <c r="L11" i="38" s="1"/>
  <c r="K12" i="38"/>
  <c r="K11" i="38"/>
  <c r="K10" i="38"/>
  <c r="K7" i="38"/>
  <c r="K5" i="38"/>
  <c r="P8" i="38"/>
  <c r="L8" i="38" s="1"/>
  <c r="I22" i="40"/>
  <c r="I13" i="40"/>
  <c r="K6" i="38"/>
  <c r="G11" i="29"/>
  <c r="M11" i="29"/>
  <c r="N11" i="29"/>
  <c r="H17" i="29"/>
  <c r="D17" i="29" s="1"/>
  <c r="I17" i="44"/>
  <c r="I18" i="44" s="1"/>
  <c r="I19" i="44"/>
  <c r="I20" i="44" s="1"/>
  <c r="I24" i="44" s="1"/>
  <c r="I28" i="44"/>
  <c r="I79" i="44" s="1"/>
  <c r="I30" i="44"/>
  <c r="I32" i="44"/>
  <c r="L15" i="38" l="1"/>
  <c r="I38" i="44"/>
  <c r="I33" i="44"/>
  <c r="I72" i="44" s="1"/>
  <c r="M12" i="29"/>
  <c r="L10" i="38"/>
  <c r="I41" i="44"/>
  <c r="I36" i="44"/>
  <c r="P17" i="38"/>
  <c r="L17" i="38" s="1"/>
  <c r="D21" i="38"/>
  <c r="J5" i="49"/>
  <c r="J15" i="49" s="1"/>
  <c r="L15" i="49" s="1"/>
  <c r="T26" i="38"/>
  <c r="L16" i="38"/>
  <c r="V35" i="38"/>
  <c r="X34" i="38" s="1"/>
  <c r="C14" i="52" l="1"/>
  <c r="C15" i="52" s="1"/>
  <c r="C13" i="52"/>
  <c r="P2" i="40"/>
  <c r="P2" i="53"/>
  <c r="C14" i="51"/>
  <c r="C15" i="51" s="1"/>
  <c r="C13" i="51"/>
  <c r="C14" i="50"/>
  <c r="C15" i="50" s="1"/>
  <c r="G7" i="51"/>
  <c r="G11" i="51" s="1"/>
  <c r="G7" i="50"/>
  <c r="G11" i="50" s="1"/>
  <c r="F11" i="49"/>
  <c r="F14" i="49"/>
  <c r="E14" i="49"/>
  <c r="F10" i="49"/>
  <c r="G13" i="49"/>
  <c r="E11" i="49"/>
  <c r="E10" i="49"/>
  <c r="F13" i="49"/>
  <c r="F9" i="49"/>
  <c r="E9" i="49"/>
  <c r="I39" i="44"/>
  <c r="I42" i="44" s="1"/>
  <c r="I37" i="44"/>
  <c r="C13" i="50"/>
  <c r="H15" i="40"/>
  <c r="P15" i="40" s="1"/>
  <c r="L15" i="40" s="1"/>
  <c r="H21" i="40" l="1"/>
  <c r="H19" i="40"/>
  <c r="P19" i="40" s="1"/>
  <c r="Q9" i="52" s="1"/>
  <c r="D6" i="40"/>
  <c r="H24" i="40"/>
  <c r="P24" i="40" s="1"/>
  <c r="C8" i="52" s="1"/>
  <c r="H8" i="40"/>
  <c r="L8" i="40" s="1"/>
  <c r="R8" i="40" s="1"/>
  <c r="H9" i="40"/>
  <c r="P9" i="40" s="1"/>
  <c r="C3" i="52" s="1"/>
  <c r="C69" i="52" s="1"/>
  <c r="H20" i="40"/>
  <c r="P20" i="40" s="1"/>
  <c r="C9" i="52" s="1"/>
  <c r="H22" i="40"/>
  <c r="P22" i="40" s="1"/>
  <c r="C14" i="48" s="1"/>
  <c r="C15" i="48" s="1"/>
  <c r="H18" i="40"/>
  <c r="P18" i="40" s="1"/>
  <c r="H13" i="40"/>
  <c r="P13" i="40" s="1"/>
  <c r="C4" i="52" s="1"/>
  <c r="H19" i="53"/>
  <c r="P19" i="53" s="1"/>
  <c r="H8" i="53"/>
  <c r="L8" i="53" s="1"/>
  <c r="R8" i="53" s="1"/>
  <c r="H20" i="53"/>
  <c r="P20" i="53" s="1"/>
  <c r="H22" i="53"/>
  <c r="P22" i="53" s="1"/>
  <c r="H9" i="53"/>
  <c r="P9" i="53" s="1"/>
  <c r="H14" i="53"/>
  <c r="P14" i="53" s="1"/>
  <c r="H18" i="53"/>
  <c r="P18" i="53" s="1"/>
  <c r="D6" i="53"/>
  <c r="H11" i="53"/>
  <c r="P11" i="53" s="1"/>
  <c r="H15" i="53"/>
  <c r="P15" i="53" s="1"/>
  <c r="H23" i="53"/>
  <c r="P23" i="53" s="1"/>
  <c r="H13" i="53"/>
  <c r="P13" i="53" s="1"/>
  <c r="H16" i="53"/>
  <c r="H24" i="53"/>
  <c r="P24" i="53" s="1"/>
  <c r="H21" i="53"/>
  <c r="H16" i="40"/>
  <c r="P16" i="40" s="1"/>
  <c r="H11" i="40"/>
  <c r="P11" i="40" s="1"/>
  <c r="R11" i="40" s="1"/>
  <c r="H14" i="40"/>
  <c r="P14" i="40" s="1"/>
  <c r="L14" i="40" s="1"/>
  <c r="H23" i="40"/>
  <c r="P23" i="40" s="1"/>
  <c r="L23" i="40" s="1"/>
  <c r="E13" i="49"/>
  <c r="G10" i="49"/>
  <c r="F15" i="49"/>
  <c r="G11" i="49"/>
  <c r="G14" i="49"/>
  <c r="I43" i="44"/>
  <c r="G9" i="49"/>
  <c r="R15" i="40"/>
  <c r="C8" i="50" l="1"/>
  <c r="R24" i="40"/>
  <c r="B9" i="44" s="1"/>
  <c r="P21" i="40"/>
  <c r="Q10" i="52" s="1"/>
  <c r="Q13" i="52" s="1"/>
  <c r="L24" i="40"/>
  <c r="R20" i="40"/>
  <c r="B11" i="44" s="1"/>
  <c r="C8" i="48"/>
  <c r="C8" i="51"/>
  <c r="C3" i="50"/>
  <c r="C5" i="50" s="1"/>
  <c r="C18" i="50" s="1"/>
  <c r="C21" i="50" s="1"/>
  <c r="C3" i="48"/>
  <c r="C5" i="48" s="1"/>
  <c r="C18" i="48" s="1"/>
  <c r="C21" i="48" s="1"/>
  <c r="C3" i="51"/>
  <c r="C5" i="51" s="1"/>
  <c r="C16" i="51" s="1"/>
  <c r="R9" i="40"/>
  <c r="B5" i="45" s="1"/>
  <c r="L5" i="45" s="1"/>
  <c r="L9" i="40"/>
  <c r="C5" i="52"/>
  <c r="C18" i="52" s="1"/>
  <c r="C21" i="52" s="1"/>
  <c r="R19" i="40"/>
  <c r="C4" i="50"/>
  <c r="L19" i="40"/>
  <c r="C12" i="49"/>
  <c r="E12" i="49" s="1"/>
  <c r="G12" i="49" s="1"/>
  <c r="G15" i="49" s="1"/>
  <c r="H12" i="40"/>
  <c r="P12" i="40" s="1"/>
  <c r="C12" i="52" s="1"/>
  <c r="C6" i="50"/>
  <c r="C23" i="50" s="1"/>
  <c r="C31" i="50" s="1"/>
  <c r="C10" i="50" s="1"/>
  <c r="L11" i="40"/>
  <c r="C6" i="48"/>
  <c r="C7" i="48" s="1"/>
  <c r="L20" i="40"/>
  <c r="L13" i="40"/>
  <c r="C4" i="51"/>
  <c r="H35" i="40"/>
  <c r="H32" i="40"/>
  <c r="L22" i="40"/>
  <c r="C13" i="48"/>
  <c r="R22" i="40"/>
  <c r="B3" i="45" s="1"/>
  <c r="B17" i="45" s="1"/>
  <c r="C9" i="50"/>
  <c r="C9" i="51"/>
  <c r="H32" i="53" s="1"/>
  <c r="C4" i="48"/>
  <c r="C9" i="48"/>
  <c r="C2" i="48"/>
  <c r="D21" i="40"/>
  <c r="R13" i="40"/>
  <c r="B6" i="45" s="1"/>
  <c r="L6" i="45" s="1"/>
  <c r="H12" i="53"/>
  <c r="P12" i="53" s="1"/>
  <c r="L12" i="53" s="1"/>
  <c r="R22" i="53"/>
  <c r="L22" i="53"/>
  <c r="R19" i="53"/>
  <c r="L19" i="53"/>
  <c r="R24" i="53"/>
  <c r="L24" i="53"/>
  <c r="L23" i="53"/>
  <c r="R23" i="53"/>
  <c r="R20" i="53"/>
  <c r="L20" i="53"/>
  <c r="P21" i="53"/>
  <c r="D21" i="53"/>
  <c r="C2" i="50"/>
  <c r="R23" i="40"/>
  <c r="C2" i="51"/>
  <c r="C6" i="52"/>
  <c r="C2" i="52"/>
  <c r="P16" i="53"/>
  <c r="L15" i="53"/>
  <c r="R15" i="53"/>
  <c r="L14" i="53"/>
  <c r="R14" i="53"/>
  <c r="H17" i="53"/>
  <c r="P17" i="53" s="1"/>
  <c r="R14" i="40"/>
  <c r="B4" i="44" s="1"/>
  <c r="C6" i="51"/>
  <c r="C26" i="51" s="1"/>
  <c r="H17" i="40"/>
  <c r="P17" i="40" s="1"/>
  <c r="R13" i="53"/>
  <c r="L13" i="53"/>
  <c r="R11" i="53"/>
  <c r="L11" i="53"/>
  <c r="L9" i="53"/>
  <c r="R9" i="53"/>
  <c r="R16" i="40"/>
  <c r="L16" i="40"/>
  <c r="I73" i="44"/>
  <c r="I74" i="44" s="1"/>
  <c r="I75" i="44" s="1"/>
  <c r="I46" i="44"/>
  <c r="I47" i="44" s="1"/>
  <c r="B8" i="45"/>
  <c r="L8" i="45" s="1"/>
  <c r="B8" i="44"/>
  <c r="Q12" i="52" l="1"/>
  <c r="C11" i="52" s="1"/>
  <c r="C11" i="51"/>
  <c r="C11" i="50"/>
  <c r="C33" i="50" s="1"/>
  <c r="C34" i="50" s="1"/>
  <c r="G7" i="48"/>
  <c r="G11" i="48" s="1"/>
  <c r="L21" i="40"/>
  <c r="B9" i="45"/>
  <c r="L9" i="45" s="1"/>
  <c r="R21" i="40"/>
  <c r="B13" i="44" s="1"/>
  <c r="C11" i="48"/>
  <c r="C69" i="48"/>
  <c r="C69" i="50"/>
  <c r="B11" i="45"/>
  <c r="L11" i="45" s="1"/>
  <c r="C23" i="51"/>
  <c r="C60" i="51" s="1"/>
  <c r="C29" i="48"/>
  <c r="C30" i="48" s="1"/>
  <c r="C16" i="50"/>
  <c r="C16" i="52"/>
  <c r="C16" i="48"/>
  <c r="C17" i="48" s="1"/>
  <c r="C20" i="48" s="1"/>
  <c r="E15" i="49"/>
  <c r="C7" i="50"/>
  <c r="C7" i="51"/>
  <c r="C17" i="51" s="1"/>
  <c r="C20" i="51" s="1"/>
  <c r="C26" i="48"/>
  <c r="B5" i="44"/>
  <c r="B7" i="44" s="1"/>
  <c r="B21" i="44" s="1"/>
  <c r="B25" i="44" s="1"/>
  <c r="B36" i="44" s="1"/>
  <c r="C69" i="51"/>
  <c r="H33" i="53" s="1"/>
  <c r="B7" i="45"/>
  <c r="B21" i="45" s="1"/>
  <c r="C12" i="50"/>
  <c r="C25" i="48"/>
  <c r="C23" i="48"/>
  <c r="C31" i="48" s="1"/>
  <c r="C10" i="48" s="1"/>
  <c r="C27" i="48"/>
  <c r="R12" i="53"/>
  <c r="B4" i="45"/>
  <c r="L4" i="45" s="1"/>
  <c r="R12" i="40"/>
  <c r="B14" i="45" s="1"/>
  <c r="L14" i="45" s="1"/>
  <c r="C12" i="51"/>
  <c r="C12" i="48"/>
  <c r="L12" i="40"/>
  <c r="D25" i="40" s="1"/>
  <c r="C26" i="50"/>
  <c r="C27" i="50"/>
  <c r="C29" i="50"/>
  <c r="C30" i="50" s="1"/>
  <c r="C25" i="50"/>
  <c r="B6" i="44"/>
  <c r="B16" i="45"/>
  <c r="L16" i="45" s="1"/>
  <c r="F7" i="52"/>
  <c r="F8" i="52"/>
  <c r="B33" i="48"/>
  <c r="L3" i="45"/>
  <c r="B3" i="44"/>
  <c r="B17" i="44" s="1"/>
  <c r="B18" i="44" s="1"/>
  <c r="H35" i="53"/>
  <c r="P34" i="53"/>
  <c r="L21" i="53"/>
  <c r="R21" i="53"/>
  <c r="C27" i="51"/>
  <c r="C25" i="51"/>
  <c r="C28" i="51" s="1"/>
  <c r="H34" i="53"/>
  <c r="C26" i="52"/>
  <c r="C7" i="52"/>
  <c r="C27" i="52"/>
  <c r="C23" i="52"/>
  <c r="C25" i="52"/>
  <c r="P33" i="53"/>
  <c r="L16" i="53"/>
  <c r="R16" i="53"/>
  <c r="R17" i="40"/>
  <c r="L17" i="40"/>
  <c r="G3" i="48"/>
  <c r="F4" i="48"/>
  <c r="G4" i="48" s="1"/>
  <c r="L17" i="53"/>
  <c r="R17" i="53"/>
  <c r="C29" i="52"/>
  <c r="H33" i="40"/>
  <c r="D25" i="53"/>
  <c r="C33" i="51"/>
  <c r="C18" i="51"/>
  <c r="C21" i="51" s="1"/>
  <c r="I56" i="44"/>
  <c r="I57" i="44" s="1"/>
  <c r="I62" i="44"/>
  <c r="I50" i="44"/>
  <c r="I66" i="44" s="1"/>
  <c r="I59" i="44"/>
  <c r="I54" i="44"/>
  <c r="I55" i="44" s="1"/>
  <c r="I58" i="44" s="1"/>
  <c r="I60" i="44" s="1"/>
  <c r="I61" i="44" s="1"/>
  <c r="I64" i="44" s="1"/>
  <c r="I65" i="44" s="1"/>
  <c r="B32" i="44"/>
  <c r="C60" i="50"/>
  <c r="B30" i="45"/>
  <c r="L30" i="45" s="1"/>
  <c r="B28" i="45"/>
  <c r="B38" i="45" s="1"/>
  <c r="L38" i="45" s="1"/>
  <c r="B31" i="45"/>
  <c r="L31" i="45" s="1"/>
  <c r="B10" i="44"/>
  <c r="B10" i="45"/>
  <c r="L10" i="45" s="1"/>
  <c r="B30" i="44"/>
  <c r="B28" i="44"/>
  <c r="B79" i="44" s="1"/>
  <c r="B31" i="44"/>
  <c r="B18" i="45"/>
  <c r="L18" i="45" s="1"/>
  <c r="L17" i="45"/>
  <c r="B13" i="45" l="1"/>
  <c r="L13" i="45" s="1"/>
  <c r="G7" i="52"/>
  <c r="G11" i="52" s="1"/>
  <c r="C31" i="51"/>
  <c r="C10" i="51" s="1"/>
  <c r="C33" i="48"/>
  <c r="C60" i="48"/>
  <c r="B37" i="44"/>
  <c r="B12" i="44"/>
  <c r="C17" i="50"/>
  <c r="C20" i="50" s="1"/>
  <c r="B32" i="45"/>
  <c r="L32" i="45" s="1"/>
  <c r="L7" i="45"/>
  <c r="C17" i="52"/>
  <c r="C20" i="52" s="1"/>
  <c r="C28" i="48"/>
  <c r="C55" i="48" s="1"/>
  <c r="C32" i="48"/>
  <c r="B14" i="44"/>
  <c r="C34" i="48"/>
  <c r="C28" i="50"/>
  <c r="C55" i="50" s="1"/>
  <c r="C32" i="50"/>
  <c r="B16" i="44"/>
  <c r="B19" i="44" s="1"/>
  <c r="B20" i="44" s="1"/>
  <c r="B24" i="44" s="1"/>
  <c r="C28" i="52"/>
  <c r="C55" i="52" s="1"/>
  <c r="F20" i="45"/>
  <c r="F20" i="44"/>
  <c r="B12" i="45"/>
  <c r="L12" i="45" s="1"/>
  <c r="B40" i="44"/>
  <c r="D40" i="44" s="1"/>
  <c r="A40" i="45"/>
  <c r="C60" i="52"/>
  <c r="C31" i="52"/>
  <c r="C55" i="51"/>
  <c r="A40" i="44"/>
  <c r="C30" i="52"/>
  <c r="C35" i="48"/>
  <c r="C36" i="48" s="1"/>
  <c r="B19" i="45"/>
  <c r="L19" i="45" s="1"/>
  <c r="C35" i="50"/>
  <c r="C36" i="50" s="1"/>
  <c r="C29" i="51"/>
  <c r="C34" i="51"/>
  <c r="I67" i="44"/>
  <c r="I71" i="44" s="1"/>
  <c r="I76" i="44"/>
  <c r="B40" i="45"/>
  <c r="D40" i="45" s="1"/>
  <c r="B79" i="45"/>
  <c r="L79" i="45" s="1"/>
  <c r="L28" i="45"/>
  <c r="B33" i="45"/>
  <c r="L33" i="45" s="1"/>
  <c r="B33" i="44"/>
  <c r="B72" i="44" s="1"/>
  <c r="B38" i="44"/>
  <c r="B39" i="44" s="1"/>
  <c r="L21" i="45"/>
  <c r="B25" i="45"/>
  <c r="C56" i="48" l="1"/>
  <c r="C57" i="48" s="1"/>
  <c r="C58" i="48" s="1"/>
  <c r="C37" i="50"/>
  <c r="C38" i="50" s="1"/>
  <c r="C40" i="50" s="1"/>
  <c r="C41" i="50" s="1"/>
  <c r="H34" i="40"/>
  <c r="C33" i="52"/>
  <c r="C34" i="52" s="1"/>
  <c r="C35" i="52" s="1"/>
  <c r="C36" i="52" s="1"/>
  <c r="C32" i="52"/>
  <c r="B41" i="44"/>
  <c r="B42" i="44" s="1"/>
  <c r="B43" i="44" s="1"/>
  <c r="B46" i="44" s="1"/>
  <c r="B47" i="44" s="1"/>
  <c r="B56" i="44" s="1"/>
  <c r="B57" i="44" s="1"/>
  <c r="B20" i="45"/>
  <c r="B24" i="45" s="1"/>
  <c r="L24" i="45" s="1"/>
  <c r="C32" i="51"/>
  <c r="C35" i="51" s="1"/>
  <c r="C30" i="51"/>
  <c r="C37" i="48"/>
  <c r="C38" i="48" s="1"/>
  <c r="I88" i="44"/>
  <c r="I91" i="44" s="1"/>
  <c r="I92" i="44" s="1"/>
  <c r="I81" i="44"/>
  <c r="I80" i="44"/>
  <c r="B41" i="45"/>
  <c r="L41" i="45" s="1"/>
  <c r="L40" i="45"/>
  <c r="B72" i="45"/>
  <c r="L72" i="45" s="1"/>
  <c r="C56" i="50"/>
  <c r="C57" i="50" s="1"/>
  <c r="C58" i="50" s="1"/>
  <c r="L25" i="45"/>
  <c r="B36" i="45"/>
  <c r="C39" i="50" l="1"/>
  <c r="C45" i="50"/>
  <c r="C42" i="50"/>
  <c r="C43" i="50" s="1"/>
  <c r="C44" i="50" s="1"/>
  <c r="C46" i="50" s="1"/>
  <c r="C37" i="52"/>
  <c r="C38" i="52" s="1"/>
  <c r="C56" i="52"/>
  <c r="C57" i="52" s="1"/>
  <c r="C58" i="52" s="1"/>
  <c r="L20" i="45"/>
  <c r="B73" i="44"/>
  <c r="B74" i="44" s="1"/>
  <c r="B75" i="44" s="1"/>
  <c r="C36" i="51"/>
  <c r="C56" i="51" s="1"/>
  <c r="C57" i="51" s="1"/>
  <c r="C58" i="51" s="1"/>
  <c r="C40" i="48"/>
  <c r="C41" i="48" s="1"/>
  <c r="C45" i="48"/>
  <c r="C42" i="48"/>
  <c r="C43" i="48" s="1"/>
  <c r="C39" i="48"/>
  <c r="I82" i="44"/>
  <c r="I83" i="44" s="1"/>
  <c r="I86" i="44" s="1"/>
  <c r="I87" i="44" s="1"/>
  <c r="B50" i="44"/>
  <c r="B54" i="44"/>
  <c r="B55" i="44" s="1"/>
  <c r="B58" i="44" s="1"/>
  <c r="B59" i="44"/>
  <c r="B39" i="45"/>
  <c r="L36" i="45"/>
  <c r="B37" i="45"/>
  <c r="C45" i="52" l="1"/>
  <c r="C42" i="52"/>
  <c r="C43" i="52" s="1"/>
  <c r="C39" i="52"/>
  <c r="C52" i="52" s="1"/>
  <c r="C48" i="52"/>
  <c r="C40" i="52"/>
  <c r="C41" i="52" s="1"/>
  <c r="C37" i="51"/>
  <c r="C38" i="51" s="1"/>
  <c r="C40" i="51" s="1"/>
  <c r="C41" i="51" s="1"/>
  <c r="C47" i="50"/>
  <c r="C50" i="50" s="1"/>
  <c r="C51" i="50" s="1"/>
  <c r="C52" i="50" s="1"/>
  <c r="C48" i="50"/>
  <c r="C44" i="48"/>
  <c r="C46" i="48" s="1"/>
  <c r="B60" i="44"/>
  <c r="L37" i="45"/>
  <c r="L39" i="45"/>
  <c r="B42" i="45"/>
  <c r="L42" i="45" s="1"/>
  <c r="C44" i="52" l="1"/>
  <c r="C46" i="52" s="1"/>
  <c r="C47" i="52" s="1"/>
  <c r="C50" i="52" s="1"/>
  <c r="C51" i="52" s="1"/>
  <c r="C53" i="52"/>
  <c r="C54" i="52" s="1"/>
  <c r="H28" i="40" s="1"/>
  <c r="C59" i="52"/>
  <c r="C39" i="51"/>
  <c r="C42" i="51"/>
  <c r="C43" i="51" s="1"/>
  <c r="C44" i="51" s="1"/>
  <c r="C45" i="51"/>
  <c r="C53" i="50"/>
  <c r="C54" i="50" s="1"/>
  <c r="C59" i="50"/>
  <c r="C47" i="48"/>
  <c r="C50" i="48" s="1"/>
  <c r="C51" i="48" s="1"/>
  <c r="C52" i="48" s="1"/>
  <c r="C48" i="48"/>
  <c r="B61" i="44"/>
  <c r="B64" i="44" s="1"/>
  <c r="B65" i="44" s="1"/>
  <c r="B66" i="44" s="1"/>
  <c r="B62" i="44"/>
  <c r="B43" i="45"/>
  <c r="L43" i="45" s="1"/>
  <c r="C67" i="52" l="1"/>
  <c r="C68" i="52" s="1"/>
  <c r="H30" i="40" s="1"/>
  <c r="C62" i="52"/>
  <c r="C61" i="52"/>
  <c r="C46" i="51"/>
  <c r="C47" i="51" s="1"/>
  <c r="C50" i="51" s="1"/>
  <c r="C51" i="51" s="1"/>
  <c r="C52" i="51" s="1"/>
  <c r="C53" i="51" s="1"/>
  <c r="C54" i="51" s="1"/>
  <c r="H28" i="53" s="1"/>
  <c r="B67" i="44"/>
  <c r="B71" i="44" s="1"/>
  <c r="B76" i="44"/>
  <c r="C61" i="50"/>
  <c r="C62" i="50"/>
  <c r="C67" i="50"/>
  <c r="C68" i="50" s="1"/>
  <c r="C53" i="48"/>
  <c r="C54" i="48" s="1"/>
  <c r="C59" i="48"/>
  <c r="B73" i="45"/>
  <c r="B74" i="45" s="1"/>
  <c r="B46" i="45"/>
  <c r="L46" i="45" s="1"/>
  <c r="C63" i="52" l="1"/>
  <c r="C64" i="52" s="1"/>
  <c r="C65" i="52" s="1"/>
  <c r="C66" i="52" s="1"/>
  <c r="H29" i="40" s="1"/>
  <c r="C48" i="51"/>
  <c r="C59" i="51"/>
  <c r="C67" i="51" s="1"/>
  <c r="C68" i="51" s="1"/>
  <c r="H30" i="53" s="1"/>
  <c r="C62" i="48"/>
  <c r="C61" i="48"/>
  <c r="C67" i="48"/>
  <c r="C68" i="48" s="1"/>
  <c r="B80" i="44"/>
  <c r="B81" i="44"/>
  <c r="B88" i="44"/>
  <c r="B91" i="44" s="1"/>
  <c r="B92" i="44" s="1"/>
  <c r="C63" i="50"/>
  <c r="C64" i="50" s="1"/>
  <c r="C65" i="50" s="1"/>
  <c r="C66" i="50" s="1"/>
  <c r="B47" i="45"/>
  <c r="B59" i="45" s="1"/>
  <c r="L59" i="45" s="1"/>
  <c r="L73" i="45"/>
  <c r="B75" i="45"/>
  <c r="L75" i="45" s="1"/>
  <c r="L74" i="45"/>
  <c r="C61" i="51" l="1"/>
  <c r="C62" i="51"/>
  <c r="B82" i="44"/>
  <c r="B83" i="44" s="1"/>
  <c r="B86" i="44" s="1"/>
  <c r="B87" i="44" s="1"/>
  <c r="C63" i="48"/>
  <c r="C64" i="48" s="1"/>
  <c r="C65" i="48" s="1"/>
  <c r="C66" i="48" s="1"/>
  <c r="B54" i="45"/>
  <c r="B55" i="45" s="1"/>
  <c r="B56" i="45"/>
  <c r="B57" i="45" s="1"/>
  <c r="L57" i="45" s="1"/>
  <c r="B50" i="45"/>
  <c r="L50" i="45" s="1"/>
  <c r="L47" i="45"/>
  <c r="C63" i="51" l="1"/>
  <c r="C64" i="51" s="1"/>
  <c r="C65" i="51" s="1"/>
  <c r="C66" i="51" s="1"/>
  <c r="L54" i="45"/>
  <c r="L56" i="45"/>
  <c r="L55" i="45"/>
  <c r="B58" i="45"/>
  <c r="H37" i="40" l="1"/>
  <c r="H38" i="40" s="1"/>
  <c r="H29" i="53"/>
  <c r="H37" i="53" s="1"/>
  <c r="H38" i="53" s="1"/>
  <c r="L58" i="45"/>
  <c r="B60" i="45"/>
  <c r="B62" i="45" s="1"/>
  <c r="L62" i="45" s="1"/>
  <c r="L60" i="45" l="1"/>
  <c r="B61" i="45"/>
  <c r="L61" i="45" l="1"/>
  <c r="B64" i="45"/>
  <c r="L64" i="45" l="1"/>
  <c r="B65" i="45"/>
  <c r="L65" i="45" l="1"/>
  <c r="B66" i="45"/>
  <c r="L66" i="45" l="1"/>
  <c r="B76" i="45"/>
  <c r="B67" i="45"/>
  <c r="B71" i="45" l="1"/>
  <c r="L71" i="45" s="1"/>
  <c r="L67" i="45"/>
  <c r="L76" i="45"/>
  <c r="B80" i="45"/>
  <c r="L80" i="45" s="1"/>
  <c r="B81" i="45"/>
  <c r="B88" i="45"/>
  <c r="B91" i="45" l="1"/>
  <c r="L88" i="45"/>
  <c r="L81" i="45"/>
  <c r="B82" i="45"/>
  <c r="L82" i="45" l="1"/>
  <c r="B83" i="45"/>
  <c r="L91" i="45"/>
  <c r="B92" i="45"/>
  <c r="L92" i="45" s="1"/>
  <c r="B86" i="45" l="1"/>
  <c r="L83" i="45"/>
  <c r="L86" i="45" l="1"/>
  <c r="B87" i="45"/>
  <c r="L87" i="4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1HG</author>
    <author>Herbert Grom</author>
  </authors>
  <commentList>
    <comment ref="E15" authorId="0" shapeId="0" xr:uid="{4F466F66-BF3D-4441-A9AD-C233CF484F57}">
      <text>
        <r>
          <rPr>
            <b/>
            <sz val="14"/>
            <color indexed="81"/>
            <rFont val="Segoe UI"/>
            <family val="2"/>
          </rPr>
          <t>WEST</t>
        </r>
      </text>
    </comment>
    <comment ref="E16" authorId="0" shapeId="0" xr:uid="{86A7F14B-7FB4-431F-A5C8-D315B801470E}">
      <text>
        <r>
          <rPr>
            <b/>
            <sz val="14"/>
            <color indexed="8"/>
            <rFont val="Segoe UI"/>
            <family val="2"/>
          </rPr>
          <t>OST</t>
        </r>
      </text>
    </comment>
    <comment ref="F19" authorId="1" shapeId="0" xr:uid="{D0368914-7D0C-4A81-8FE6-5E4259EAF1CE}">
      <text>
        <r>
          <rPr>
            <sz val="10"/>
            <color indexed="8"/>
            <rFont val="Arial"/>
            <family val="2"/>
          </rPr>
          <t xml:space="preserve">Basis 2015 ist 0,60. 
</t>
        </r>
        <r>
          <rPr>
            <sz val="10"/>
            <color indexed="8"/>
            <rFont val="Arial"/>
            <family val="2"/>
          </rPr>
          <t>Jedes folgende Jahr + 0,04</t>
        </r>
      </text>
    </comment>
    <comment ref="E28" authorId="0" shapeId="0" xr:uid="{A14A769B-A181-440B-806C-025DC79CD1A5}">
      <text>
        <r>
          <rPr>
            <b/>
            <sz val="14"/>
            <color indexed="81"/>
            <rFont val="Segoe UI"/>
            <family val="2"/>
          </rPr>
          <t>KinderFreibeträge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1HG</author>
    <author>Herbert Grom</author>
  </authors>
  <commentList>
    <comment ref="E15" authorId="0" shapeId="0" xr:uid="{00000000-0006-0000-0700-000001000000}">
      <text>
        <r>
          <rPr>
            <b/>
            <sz val="14"/>
            <color indexed="81"/>
            <rFont val="Segoe UI"/>
            <family val="2"/>
          </rPr>
          <t>WEST</t>
        </r>
      </text>
    </comment>
    <comment ref="E16" authorId="0" shapeId="0" xr:uid="{00000000-0006-0000-0700-000002000000}">
      <text>
        <r>
          <rPr>
            <b/>
            <sz val="14"/>
            <color indexed="8"/>
            <rFont val="Segoe UI"/>
            <family val="2"/>
          </rPr>
          <t>OST</t>
        </r>
      </text>
    </comment>
    <comment ref="F19" authorId="1" shapeId="0" xr:uid="{00000000-0006-0000-0700-000003000000}">
      <text>
        <r>
          <rPr>
            <sz val="10"/>
            <color indexed="8"/>
            <rFont val="Arial"/>
            <family val="2"/>
          </rPr>
          <t xml:space="preserve">Basis 2015 ist 0,60. 
</t>
        </r>
        <r>
          <rPr>
            <sz val="10"/>
            <color indexed="8"/>
            <rFont val="Arial"/>
            <family val="2"/>
          </rPr>
          <t>Jedes folgende Jahr + 0,04</t>
        </r>
      </text>
    </comment>
    <comment ref="E28" authorId="0" shapeId="0" xr:uid="{00000000-0006-0000-0700-000004000000}">
      <text>
        <r>
          <rPr>
            <b/>
            <sz val="14"/>
            <color indexed="81"/>
            <rFont val="Segoe UI"/>
            <family val="2"/>
          </rPr>
          <t>KinderFreibeträge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1HG</author>
    <author>Herbert Grom</author>
  </authors>
  <commentList>
    <comment ref="E15" authorId="0" shapeId="0" xr:uid="{00000000-0006-0000-0800-000001000000}">
      <text>
        <r>
          <rPr>
            <b/>
            <sz val="14"/>
            <color indexed="81"/>
            <rFont val="Segoe UI"/>
            <family val="2"/>
          </rPr>
          <t>WEST</t>
        </r>
      </text>
    </comment>
    <comment ref="E16" authorId="0" shapeId="0" xr:uid="{00000000-0006-0000-0800-000002000000}">
      <text>
        <r>
          <rPr>
            <b/>
            <sz val="14"/>
            <color indexed="8"/>
            <rFont val="Segoe UI"/>
            <family val="2"/>
          </rPr>
          <t>OST</t>
        </r>
      </text>
    </comment>
    <comment ref="F19" authorId="1" shapeId="0" xr:uid="{00000000-0006-0000-0800-000003000000}">
      <text>
        <r>
          <rPr>
            <sz val="10"/>
            <color indexed="8"/>
            <rFont val="Arial"/>
            <family val="2"/>
          </rPr>
          <t xml:space="preserve">Basis 2015 ist 0,60. 
</t>
        </r>
        <r>
          <rPr>
            <sz val="10"/>
            <color indexed="8"/>
            <rFont val="Arial"/>
            <family val="2"/>
          </rPr>
          <t>Jedes folgende Jahr + 0,04</t>
        </r>
      </text>
    </comment>
    <comment ref="E28" authorId="0" shapeId="0" xr:uid="{00000000-0006-0000-0800-000004000000}">
      <text>
        <r>
          <rPr>
            <b/>
            <sz val="14"/>
            <color indexed="81"/>
            <rFont val="Segoe UI"/>
            <family val="2"/>
          </rPr>
          <t>KinderFreibeträge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Herbert Grom</author>
    <author>1HG</author>
  </authors>
  <commentList>
    <comment ref="B1" authorId="0" shapeId="0" xr:uid="{00000000-0006-0000-0900-000001000000}">
      <text>
        <r>
          <rPr>
            <sz val="10"/>
            <rFont val="Arial"/>
            <family val="2"/>
          </rPr>
          <t>Bearbeitungsjahr</t>
        </r>
      </text>
    </comment>
    <comment ref="E15" authorId="1" shapeId="0" xr:uid="{00000000-0006-0000-0900-000002000000}">
      <text>
        <r>
          <rPr>
            <sz val="10"/>
            <rFont val="Arial"/>
            <family val="2"/>
          </rPr>
          <t>WEST</t>
        </r>
      </text>
    </comment>
    <comment ref="E16" authorId="1" shapeId="0" xr:uid="{00000000-0006-0000-0900-000003000000}">
      <text>
        <r>
          <rPr>
            <sz val="10"/>
            <rFont val="Arial"/>
            <family val="2"/>
          </rPr>
          <t>OST</t>
        </r>
      </text>
    </comment>
    <comment ref="F19" authorId="0" shapeId="0" xr:uid="{00000000-0006-0000-0900-000004000000}">
      <text>
        <r>
          <rPr>
            <sz val="10"/>
            <rFont val="Arial"/>
            <family val="2"/>
          </rPr>
          <t xml:space="preserve">Basis 2015 ist 0,60. 
</t>
        </r>
        <r>
          <rPr>
            <sz val="10"/>
            <rFont val="Arial"/>
            <family val="2"/>
          </rPr>
          <t>Jedes folgende Jahr + 0,04</t>
        </r>
      </text>
    </comment>
    <comment ref="E28" authorId="1" shapeId="0" xr:uid="{00000000-0006-0000-0900-000005000000}">
      <text>
        <r>
          <rPr>
            <sz val="10"/>
            <rFont val="Arial"/>
            <family val="2"/>
          </rPr>
          <t>KinderFreibeträge</t>
        </r>
      </text>
    </comment>
    <comment ref="C37" authorId="1" shapeId="0" xr:uid="{00000000-0006-0000-0900-000006000000}">
      <text>
        <r>
          <rPr>
            <sz val="10"/>
            <rFont val="Arial"/>
            <family val="2"/>
          </rPr>
          <t>Zu versteuerndes Einkommen</t>
        </r>
      </text>
    </comment>
  </commentList>
</comments>
</file>

<file path=xl/sharedStrings.xml><?xml version="1.0" encoding="utf-8"?>
<sst xmlns="http://schemas.openxmlformats.org/spreadsheetml/2006/main" count="1060" uniqueCount="234">
  <si>
    <t>Allgemeine Hinweise</t>
  </si>
  <si>
    <t>Startseite</t>
  </si>
  <si>
    <t>Tabellenblätter</t>
  </si>
  <si>
    <t>Tabellenblatt</t>
  </si>
  <si>
    <t>Info</t>
  </si>
  <si>
    <t>Die Vervielfältigung, Verbreitung oder Veräußerung der Daten oder Texte ist unzulässig und</t>
  </si>
  <si>
    <t>ausdrücklich nur mit Genehmigung des Verlags gestattet.</t>
  </si>
  <si>
    <t>Nr</t>
  </si>
  <si>
    <t>Hinweise</t>
  </si>
  <si>
    <t>Hyperlink</t>
  </si>
  <si>
    <t>Eingaben</t>
  </si>
  <si>
    <t>Beispiel</t>
  </si>
  <si>
    <t>Hilfe</t>
  </si>
  <si>
    <t>Hier finden Sie nähere Informationen über die Anwendung.</t>
  </si>
  <si>
    <t>#Hilfe!B3</t>
  </si>
  <si>
    <t>Berechnung</t>
  </si>
  <si>
    <t>#Eingaben!B3</t>
  </si>
  <si>
    <t>#Beispiel!B3</t>
  </si>
  <si>
    <t>#Berechnung!B3</t>
  </si>
  <si>
    <t>&lt;&lt; Startseite</t>
  </si>
  <si>
    <t>Hilfe?</t>
  </si>
  <si>
    <t>&lt;&lt; Starseite</t>
  </si>
  <si>
    <t>Altersentlastungsbetrag</t>
  </si>
  <si>
    <t>(Jahres)Hinzurechnungen</t>
  </si>
  <si>
    <t>Lohnsteuer</t>
  </si>
  <si>
    <t>Solidaritätszuschlag</t>
  </si>
  <si>
    <t>Kirchensteuer</t>
  </si>
  <si>
    <t>Abzüge</t>
  </si>
  <si>
    <t>Nettolohn</t>
  </si>
  <si>
    <t>ALTER1</t>
  </si>
  <si>
    <t>Werte der Zellen B3-B15 und B40 werden von der Eingabe-Mappe geholt</t>
  </si>
  <si>
    <t>ZKF</t>
  </si>
  <si>
    <t>Bei Übernahme in eigenes Programm enstprechend anpassen</t>
  </si>
  <si>
    <t>LZZ</t>
  </si>
  <si>
    <t>KRV</t>
  </si>
  <si>
    <t>ZRE4J</t>
  </si>
  <si>
    <t>STKL</t>
  </si>
  <si>
    <t>JLFREIB</t>
  </si>
  <si>
    <t xml:space="preserve"> </t>
  </si>
  <si>
    <t>JLHINZU</t>
  </si>
  <si>
    <t>RV-BEMES</t>
  </si>
  <si>
    <t>RV-Bemessungsgrenzen Ost/West</t>
  </si>
  <si>
    <t>PKV</t>
  </si>
  <si>
    <t>PV%</t>
  </si>
  <si>
    <t>FAKTOR F</t>
  </si>
  <si>
    <t>MRE4ALTE</t>
  </si>
  <si>
    <t>TAB4</t>
  </si>
  <si>
    <t>TAB5</t>
  </si>
  <si>
    <t>ALTEANTEIL</t>
  </si>
  <si>
    <t>ALTE</t>
  </si>
  <si>
    <t>ZRE4</t>
  </si>
  <si>
    <t>ZRE4VP</t>
  </si>
  <si>
    <t>MRE4</t>
  </si>
  <si>
    <t>MZTABFB</t>
  </si>
  <si>
    <t>KZTAB</t>
  </si>
  <si>
    <t>ANP</t>
  </si>
  <si>
    <t>EFA</t>
  </si>
  <si>
    <t>SAP</t>
  </si>
  <si>
    <t>KFB</t>
  </si>
  <si>
    <t>ZTABFB</t>
  </si>
  <si>
    <t>UPEVP</t>
  </si>
  <si>
    <t>VSP1</t>
  </si>
  <si>
    <t>VHB</t>
  </si>
  <si>
    <t>VSP2</t>
  </si>
  <si>
    <t>KV</t>
  </si>
  <si>
    <t>KV&gt;VHB?</t>
  </si>
  <si>
    <t>VSPN</t>
  </si>
  <si>
    <t>UMVSP</t>
  </si>
  <si>
    <t>ZVE</t>
  </si>
  <si>
    <t>ZZX</t>
  </si>
  <si>
    <t>ST</t>
  </si>
  <si>
    <t>MST5-6</t>
  </si>
  <si>
    <t>X</t>
  </si>
  <si>
    <t>ST1</t>
  </si>
  <si>
    <t>ST2</t>
  </si>
  <si>
    <t>DIFF</t>
  </si>
  <si>
    <t>MIST</t>
  </si>
  <si>
    <t>VERGL</t>
  </si>
  <si>
    <t>MIT REICHST</t>
  </si>
  <si>
    <t>LSTJAHR</t>
  </si>
  <si>
    <t>Ehegattenfaktorenverfahren</t>
  </si>
  <si>
    <t>JW</t>
  </si>
  <si>
    <t>Zell B67 mit Faktor multiplizieren (für Lohnsteuer)</t>
  </si>
  <si>
    <t>Nur wenn StKl 4 gewählt und Hinzurechnungsbetrag=0!</t>
  </si>
  <si>
    <t>MLSTJAHR</t>
  </si>
  <si>
    <t>LSTLZZ</t>
  </si>
  <si>
    <t>ZVE, X</t>
  </si>
  <si>
    <t>JBMG</t>
  </si>
  <si>
    <t>Zell B76 mit Faktor multiplizieren (für Soli und Kirchensteuer)</t>
  </si>
  <si>
    <t>MSOLZ</t>
  </si>
  <si>
    <t>SOLZFREI</t>
  </si>
  <si>
    <t>SOLZJ</t>
  </si>
  <si>
    <t>SOLZMIN</t>
  </si>
  <si>
    <t>SOLZ</t>
  </si>
  <si>
    <t>ANTEIL1</t>
  </si>
  <si>
    <t>SOLZLZZ</t>
  </si>
  <si>
    <t>BK</t>
  </si>
  <si>
    <t>Steuerpflichtiger Arbeitslohn in Euro</t>
  </si>
  <si>
    <t>Nein</t>
  </si>
  <si>
    <t>Sonderabgabe zur Pflegeversicherung</t>
  </si>
  <si>
    <t>Ja</t>
  </si>
  <si>
    <t>Geboren vor 1941</t>
  </si>
  <si>
    <t>Geboren 1941</t>
  </si>
  <si>
    <t>Geboren 1942</t>
  </si>
  <si>
    <t>Geboren 1943</t>
  </si>
  <si>
    <t>Geboren 1944</t>
  </si>
  <si>
    <t>Geboren 1945</t>
  </si>
  <si>
    <t>Geboren 1946</t>
  </si>
  <si>
    <t>Geboren nach 1946</t>
  </si>
  <si>
    <t>Liste für Altersentlastungsbetrag</t>
  </si>
  <si>
    <t>Hinweise zum Lohnsteuer-Rechner</t>
  </si>
  <si>
    <t>Berechnungsergebnisse:</t>
  </si>
  <si>
    <t>Ehegattenfaktor (3 Nachkommastellen) nur für StKl IV</t>
  </si>
  <si>
    <t>Kinderfreibetrag</t>
  </si>
  <si>
    <t>allgemeine oder besondere LSt-Tabelle</t>
  </si>
  <si>
    <t>Steuerklasse</t>
  </si>
  <si>
    <t>Kirchensteuer in Prozent</t>
  </si>
  <si>
    <t>Für welchen Zeitraum soll die LSt berechnet werden?</t>
  </si>
  <si>
    <t>Krankenversicherungssatz, bzw. PKV-Basisprämie in €</t>
  </si>
  <si>
    <t>(Jahres)lohnsteuerfreibetrag auf LSt-Karte</t>
  </si>
  <si>
    <t>Hier machen Sie die Angaben zur Berechnung der LSt, der Sozialversicherungsbeiträge und zur Netto-Auszahlung.</t>
  </si>
  <si>
    <t>Hier werden Ihnen die Ergebnisse der Berechnung angezeigt.</t>
  </si>
  <si>
    <t>Hier finden Sie ein Beispiel für den LSt-Rechner.</t>
  </si>
  <si>
    <t>Arbeitsstelle in Ostdeutschland</t>
  </si>
  <si>
    <t>© BWRmed!a, ein Unternehmensbereich der VNR Verlag für die Deutsche Wirtschaft AG - HRexperten24.de</t>
  </si>
  <si>
    <t>_KAW999934</t>
  </si>
  <si>
    <t>J</t>
  </si>
  <si>
    <t>_KAW999929</t>
  </si>
  <si>
    <t>bb6f94e9-3d72-4b2e-87b9-0e4507023c5a</t>
  </si>
  <si>
    <t>LST 2014</t>
  </si>
  <si>
    <t>UPTAB13</t>
  </si>
  <si>
    <t>Krankenkassen-Zusatzbeitragsatz (d. Arbeitnehmers)</t>
  </si>
  <si>
    <t>=9763*1.25=12.203 davon ST = 683* 2 = 1366 bzw. auch 9763 * 14% = 1366</t>
  </si>
  <si>
    <t>7,9 % + PV</t>
  </si>
  <si>
    <t>LST 2015</t>
  </si>
  <si>
    <t>BBGRV</t>
  </si>
  <si>
    <t>UPTAB14</t>
  </si>
  <si>
    <t>FLZZ</t>
  </si>
  <si>
    <t>FAKTOR LZZ</t>
  </si>
  <si>
    <t>UPTAB16</t>
  </si>
  <si>
    <t>UPTAB19</t>
  </si>
  <si>
    <t>SOLI</t>
  </si>
  <si>
    <t>VHB / VSP2</t>
  </si>
  <si>
    <t>GFB</t>
  </si>
  <si>
    <t>W3STKL5</t>
  </si>
  <si>
    <t>W2STKL5</t>
  </si>
  <si>
    <t>W1STKL5</t>
  </si>
  <si>
    <t>TBSVORV</t>
  </si>
  <si>
    <t>KVSATZAG</t>
  </si>
  <si>
    <t>BBGKVPV</t>
  </si>
  <si>
    <t>MPARA</t>
  </si>
  <si>
    <t>Bereich</t>
  </si>
  <si>
    <t>WERT</t>
  </si>
  <si>
    <t>Name</t>
  </si>
  <si>
    <t>BMF - PAP - ANGABEN</t>
  </si>
  <si>
    <t>KV plus PV AG</t>
  </si>
  <si>
    <t>KVSATZ AG</t>
  </si>
  <si>
    <t>ZUSATZ KV Durschn.</t>
  </si>
  <si>
    <t>ZUSATZ Kinderlos</t>
  </si>
  <si>
    <t>PV_Satz Sachsen</t>
  </si>
  <si>
    <t>ohne / mit Kind</t>
  </si>
  <si>
    <t>PV_Satz</t>
  </si>
  <si>
    <t>AV_Satz</t>
  </si>
  <si>
    <t>RV_Satz</t>
  </si>
  <si>
    <t>KV_Zusatz</t>
  </si>
  <si>
    <t>Mit Zusatzbeitrag</t>
  </si>
  <si>
    <t>KVSATZ</t>
  </si>
  <si>
    <t>Berechnet</t>
  </si>
  <si>
    <t>SATZ</t>
  </si>
  <si>
    <t>Bezeichnung</t>
  </si>
  <si>
    <t>LST</t>
  </si>
  <si>
    <t>Geboren 1947</t>
  </si>
  <si>
    <t>Geboren 1948</t>
  </si>
  <si>
    <t>Geboren 1949</t>
  </si>
  <si>
    <t>Geboren 1950</t>
  </si>
  <si>
    <t>Geboren 1951</t>
  </si>
  <si>
    <t>Geboren 1952</t>
  </si>
  <si>
    <t>Geboren 1953</t>
  </si>
  <si>
    <t>Geboren 1954</t>
  </si>
  <si>
    <t>Geboren 1955</t>
  </si>
  <si>
    <t>Arbeitgeberzuschuss zur privaten KV</t>
  </si>
  <si>
    <t>Tats. Arbeitsentgelt</t>
  </si>
  <si>
    <t>Faktor "F"</t>
  </si>
  <si>
    <t>Voller Satz in RV</t>
  </si>
  <si>
    <t>Versicherung</t>
  </si>
  <si>
    <t>Werte</t>
  </si>
  <si>
    <t>Summe</t>
  </si>
  <si>
    <t>AG</t>
  </si>
  <si>
    <t>AN</t>
  </si>
  <si>
    <t>KV - Zusatzbeitrag</t>
  </si>
  <si>
    <t>PV</t>
  </si>
  <si>
    <t>PV - Beitragszuschlag</t>
  </si>
  <si>
    <t>RV</t>
  </si>
  <si>
    <t>AV</t>
  </si>
  <si>
    <t>Liegt das Gehalt darüber, den normalen Rechner benutzen</t>
  </si>
  <si>
    <t>Geburtsjahr</t>
  </si>
  <si>
    <t>Jahr</t>
  </si>
  <si>
    <t>Nummer</t>
  </si>
  <si>
    <t>vor 1941</t>
  </si>
  <si>
    <t>bis 2005</t>
  </si>
  <si>
    <t>KV ZUSATZ Schnitt</t>
  </si>
  <si>
    <t>SOLZMIN F</t>
  </si>
  <si>
    <t>UPTAB21</t>
  </si>
  <si>
    <t>Geboren 1956</t>
  </si>
  <si>
    <t>Wahl</t>
  </si>
  <si>
    <t>UPTAB23</t>
  </si>
  <si>
    <t>Geboren 1957</t>
  </si>
  <si>
    <t>Geboren nach 1958</t>
  </si>
  <si>
    <t>Formel &gt; 520</t>
  </si>
  <si>
    <t>Rechner ist nur gültig bis Brutto 2000.</t>
  </si>
  <si>
    <t>Lohnsteuer-Rechner 2023</t>
  </si>
  <si>
    <t>© 2023 by mediaforwork - ein Unternehmensbereich der Verlag für die Deutsche Wirtschaft AG</t>
  </si>
  <si>
    <t>Lohnsteuer-Rechner 2023 - Eingaben</t>
  </si>
  <si>
    <t>Lohnsteuer-Rechner 2023 - Hilfe</t>
  </si>
  <si>
    <t>Lohnsteuer-Rechner 2023 - Berechnung</t>
  </si>
  <si>
    <t>Änderung noch nicht im Ablaufpan</t>
  </si>
  <si>
    <t>NEU</t>
  </si>
  <si>
    <t>Geboren 1958</t>
  </si>
  <si>
    <t>Rentenversicherung</t>
  </si>
  <si>
    <t>Krankenversicherung</t>
  </si>
  <si>
    <t>Pflegeversicherung</t>
  </si>
  <si>
    <t>Arbeitslosenversicherung</t>
  </si>
  <si>
    <t>Mitglieder ohne Kinder </t>
  </si>
  <si>
    <t>Mitglieder mit 1 Kind</t>
  </si>
  <si>
    <t>Mitglieder mit 2 Kindern</t>
  </si>
  <si>
    <t>Mitglieder mit 3 Kindern</t>
  </si>
  <si>
    <t>Mitglieder mit 4 Kindern</t>
  </si>
  <si>
    <t>Mitglieder mit 5 und mehr Kindern</t>
  </si>
  <si>
    <t>AN Sachsen</t>
  </si>
  <si>
    <t>Kinder</t>
  </si>
  <si>
    <t>Anzahl Kinder für Pflegeversicherung</t>
  </si>
  <si>
    <t>Arbeitsort in Sachsen</t>
  </si>
  <si>
    <t>Wert für Pflegeversicherung - AN</t>
  </si>
  <si>
    <t>Wert für Pflegeversicherung -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</si>
</sst>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0.0"/>
    <numFmt numFmtId="165" formatCode="0.00000"/>
    <numFmt numFmtId="166" formatCode="0.000000"/>
    <numFmt numFmtId="167" formatCode="0.000"/>
    <numFmt numFmtId="168" formatCode="0_ ;\-0\ "/>
    <numFmt numFmtId="169" formatCode="0.00_ ;\-0.00\ "/>
    <numFmt numFmtId="170" formatCode="#,##0.00_ ;\-#,##0.00\ "/>
    <numFmt numFmtId="171" formatCode="0.00000_ ;\-0.00000\ "/>
    <numFmt numFmtId="172" formatCode="0.0000"/>
    <numFmt numFmtId="173" formatCode="#,##0.00000000"/>
    <numFmt numFmtId="174" formatCode="0.000%"/>
    <numFmt numFmtId="175" formatCode="#,##0.00\ &quot;€&quot;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color indexed="12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1"/>
      <name val="Segoe UI"/>
      <family val="2"/>
    </font>
    <font>
      <b/>
      <sz val="14"/>
      <color indexed="8"/>
      <name val="Segoe U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E6F1F7"/>
      <name val="Arial"/>
      <family val="2"/>
    </font>
    <font>
      <sz val="9"/>
      <color rgb="FFDDEEC5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1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668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9" fillId="11" borderId="1" applyNumberFormat="0" applyAlignment="0" applyProtection="0"/>
    <xf numFmtId="0" fontId="10" fillId="11" borderId="2" applyNumberFormat="0" applyAlignment="0" applyProtection="0"/>
    <xf numFmtId="0" fontId="11" fillId="4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4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5" fillId="12" borderId="0" applyNumberFormat="0" applyBorder="0" applyAlignment="0" applyProtection="0"/>
    <xf numFmtId="0" fontId="8" fillId="13" borderId="4" applyNumberFormat="0" applyFont="0" applyAlignment="0" applyProtection="0"/>
    <xf numFmtId="0" fontId="16" fillId="2" borderId="0" applyNumberFormat="0" applyBorder="0" applyAlignment="0" applyProtection="0"/>
    <xf numFmtId="0" fontId="34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14" borderId="9" applyNumberFormat="0" applyAlignment="0" applyProtection="0"/>
  </cellStyleXfs>
  <cellXfs count="482">
    <xf numFmtId="0" fontId="0" fillId="0" borderId="0" xfId="0"/>
    <xf numFmtId="0" fontId="0" fillId="15" borderId="10" xfId="0" applyFill="1" applyBorder="1" applyAlignment="1" applyProtection="1">
      <alignment horizontal="left" wrapText="1"/>
      <protection hidden="1"/>
    </xf>
    <xf numFmtId="0" fontId="0" fillId="16" borderId="0" xfId="0" applyFill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6" fillId="17" borderId="18" xfId="0" applyFont="1" applyFill="1" applyBorder="1" applyAlignment="1" applyProtection="1">
      <alignment horizontal="centerContinuous" vertical="center"/>
      <protection hidden="1"/>
    </xf>
    <xf numFmtId="0" fontId="26" fillId="17" borderId="19" xfId="0" applyFont="1" applyFill="1" applyBorder="1" applyAlignment="1" applyProtection="1">
      <alignment horizontal="centerContinuous" vertical="center"/>
      <protection hidden="1"/>
    </xf>
    <xf numFmtId="0" fontId="26" fillId="17" borderId="20" xfId="0" applyFont="1" applyFill="1" applyBorder="1" applyAlignment="1" applyProtection="1">
      <alignment horizontal="centerContinuous" vertical="center"/>
      <protection hidden="1"/>
    </xf>
    <xf numFmtId="0" fontId="0" fillId="0" borderId="18" xfId="0" applyBorder="1" applyProtection="1">
      <protection hidden="1"/>
    </xf>
    <xf numFmtId="0" fontId="2" fillId="0" borderId="19" xfId="0" applyFont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hidden="1"/>
    </xf>
    <xf numFmtId="0" fontId="2" fillId="18" borderId="10" xfId="0" applyFont="1" applyFill="1" applyBorder="1" applyProtection="1">
      <protection hidden="1"/>
    </xf>
    <xf numFmtId="0" fontId="2" fillId="0" borderId="10" xfId="0" applyFont="1" applyBorder="1" applyProtection="1">
      <protection hidden="1"/>
    </xf>
    <xf numFmtId="0" fontId="23" fillId="0" borderId="22" xfId="16" applyBorder="1" applyAlignment="1" applyProtection="1">
      <alignment horizontal="center" vertical="center"/>
      <protection hidden="1"/>
    </xf>
    <xf numFmtId="0" fontId="24" fillId="0" borderId="12" xfId="15" applyBorder="1" applyAlignment="1" applyProtection="1">
      <alignment horizontal="left"/>
      <protection hidden="1"/>
    </xf>
    <xf numFmtId="0" fontId="0" fillId="0" borderId="14" xfId="0" applyBorder="1"/>
    <xf numFmtId="0" fontId="2" fillId="0" borderId="16" xfId="0" applyFont="1" applyBorder="1" applyProtection="1">
      <protection hidden="1"/>
    </xf>
    <xf numFmtId="0" fontId="2" fillId="0" borderId="23" xfId="0" applyFont="1" applyBorder="1" applyProtection="1">
      <protection hidden="1"/>
    </xf>
    <xf numFmtId="0" fontId="2" fillId="0" borderId="21" xfId="0" applyFont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2" fillId="19" borderId="29" xfId="0" applyFont="1" applyFill="1" applyBorder="1" applyAlignment="1" applyProtection="1">
      <alignment horizontal="left" wrapText="1"/>
      <protection hidden="1"/>
    </xf>
    <xf numFmtId="0" fontId="0" fillId="19" borderId="0" xfId="0" applyFill="1" applyProtection="1">
      <protection hidden="1"/>
    </xf>
    <xf numFmtId="0" fontId="2" fillId="19" borderId="30" xfId="0" applyFont="1" applyFill="1" applyBorder="1" applyAlignment="1" applyProtection="1">
      <alignment horizontal="left" wrapText="1"/>
      <protection hidden="1"/>
    </xf>
    <xf numFmtId="0" fontId="2" fillId="19" borderId="31" xfId="0" applyFont="1" applyFill="1" applyBorder="1" applyAlignment="1" applyProtection="1">
      <alignment horizontal="left" wrapText="1"/>
      <protection hidden="1"/>
    </xf>
    <xf numFmtId="0" fontId="2" fillId="19" borderId="14" xfId="0" applyFont="1" applyFill="1" applyBorder="1" applyAlignment="1" applyProtection="1">
      <alignment horizontal="left" wrapText="1"/>
      <protection hidden="1"/>
    </xf>
    <xf numFmtId="0" fontId="2" fillId="19" borderId="15" xfId="0" applyFont="1" applyFill="1" applyBorder="1" applyAlignment="1" applyProtection="1">
      <alignment horizontal="left" wrapText="1"/>
      <protection hidden="1"/>
    </xf>
    <xf numFmtId="0" fontId="6" fillId="17" borderId="22" xfId="0" applyFont="1" applyFill="1" applyBorder="1" applyAlignment="1" applyProtection="1">
      <alignment horizontal="left" wrapText="1"/>
      <protection hidden="1"/>
    </xf>
    <xf numFmtId="0" fontId="6" fillId="17" borderId="32" xfId="0" applyFont="1" applyFill="1" applyBorder="1" applyAlignment="1" applyProtection="1">
      <alignment horizontal="left"/>
      <protection hidden="1"/>
    </xf>
    <xf numFmtId="0" fontId="2" fillId="19" borderId="33" xfId="0" applyFont="1" applyFill="1" applyBorder="1" applyAlignment="1" applyProtection="1">
      <alignment horizontal="left" wrapText="1"/>
      <protection hidden="1"/>
    </xf>
    <xf numFmtId="0" fontId="2" fillId="19" borderId="34" xfId="0" applyFont="1" applyFill="1" applyBorder="1" applyAlignment="1" applyProtection="1">
      <alignment horizontal="left" wrapText="1"/>
      <protection hidden="1"/>
    </xf>
    <xf numFmtId="0" fontId="2" fillId="19" borderId="0" xfId="0" applyFont="1" applyFill="1" applyAlignment="1" applyProtection="1">
      <alignment horizontal="left" wrapText="1"/>
      <protection hidden="1"/>
    </xf>
    <xf numFmtId="0" fontId="2" fillId="19" borderId="12" xfId="0" applyFont="1" applyFill="1" applyBorder="1" applyAlignment="1" applyProtection="1">
      <alignment horizontal="left" wrapText="1"/>
      <protection hidden="1"/>
    </xf>
    <xf numFmtId="0" fontId="0" fillId="0" borderId="0" xfId="0" applyAlignment="1">
      <alignment horizontal="right"/>
    </xf>
    <xf numFmtId="0" fontId="2" fillId="20" borderId="0" xfId="0" applyFont="1" applyFill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/>
    <xf numFmtId="168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hidden="1"/>
    </xf>
    <xf numFmtId="168" fontId="0" fillId="0" borderId="0" xfId="0" applyNumberFormat="1" applyAlignment="1" applyProtection="1">
      <alignment horizontal="right"/>
      <protection hidden="1"/>
    </xf>
    <xf numFmtId="169" fontId="0" fillId="0" borderId="0" xfId="0" applyNumberFormat="1" applyAlignment="1" applyProtection="1">
      <alignment horizontal="right"/>
      <protection hidden="1"/>
    </xf>
    <xf numFmtId="171" fontId="0" fillId="0" borderId="0" xfId="0" applyNumberFormat="1" applyAlignment="1" applyProtection="1">
      <alignment horizontal="right"/>
      <protection hidden="1"/>
    </xf>
    <xf numFmtId="0" fontId="2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3" fillId="0" borderId="0" xfId="0" applyFont="1" applyProtection="1">
      <protection hidden="1"/>
    </xf>
    <xf numFmtId="168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32" fillId="0" borderId="0" xfId="0" applyFont="1" applyProtection="1">
      <protection hidden="1"/>
    </xf>
    <xf numFmtId="2" fontId="0" fillId="21" borderId="0" xfId="0" applyNumberFormat="1" applyFill="1" applyProtection="1">
      <protection hidden="1"/>
    </xf>
    <xf numFmtId="165" fontId="0" fillId="0" borderId="0" xfId="0" applyNumberFormat="1" applyProtection="1">
      <protection hidden="1"/>
    </xf>
    <xf numFmtId="0" fontId="3" fillId="0" borderId="0" xfId="0" applyFont="1" applyAlignment="1">
      <alignment vertical="top"/>
    </xf>
    <xf numFmtId="4" fontId="2" fillId="0" borderId="17" xfId="0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4" fontId="3" fillId="0" borderId="35" xfId="0" applyNumberFormat="1" applyFont="1" applyBorder="1" applyProtection="1">
      <protection locked="0"/>
    </xf>
    <xf numFmtId="0" fontId="0" fillId="0" borderId="0" xfId="0" applyAlignment="1">
      <alignment vertical="center"/>
    </xf>
    <xf numFmtId="0" fontId="23" fillId="0" borderId="0" xfId="16" applyAlignment="1" applyProtection="1">
      <alignment horizontal="center"/>
    </xf>
    <xf numFmtId="0" fontId="0" fillId="19" borderId="18" xfId="0" applyFill="1" applyBorder="1"/>
    <xf numFmtId="0" fontId="0" fillId="19" borderId="19" xfId="0" applyFill="1" applyBorder="1"/>
    <xf numFmtId="0" fontId="28" fillId="19" borderId="19" xfId="0" applyFont="1" applyFill="1" applyBorder="1" applyAlignment="1">
      <alignment wrapText="1"/>
    </xf>
    <xf numFmtId="0" fontId="0" fillId="19" borderId="20" xfId="0" applyFill="1" applyBorder="1"/>
    <xf numFmtId="0" fontId="0" fillId="19" borderId="11" xfId="0" applyFill="1" applyBorder="1"/>
    <xf numFmtId="0" fontId="0" fillId="19" borderId="0" xfId="0" applyFill="1"/>
    <xf numFmtId="0" fontId="3" fillId="19" borderId="0" xfId="0" applyFont="1" applyFill="1"/>
    <xf numFmtId="0" fontId="2" fillId="19" borderId="0" xfId="0" applyFont="1" applyFill="1"/>
    <xf numFmtId="2" fontId="2" fillId="19" borderId="36" xfId="0" applyNumberFormat="1" applyFont="1" applyFill="1" applyBorder="1" applyAlignment="1">
      <alignment wrapText="1"/>
    </xf>
    <xf numFmtId="0" fontId="0" fillId="19" borderId="12" xfId="0" applyFill="1" applyBorder="1"/>
    <xf numFmtId="0" fontId="0" fillId="19" borderId="37" xfId="0" applyFill="1" applyBorder="1"/>
    <xf numFmtId="0" fontId="29" fillId="19" borderId="0" xfId="0" applyFont="1" applyFill="1"/>
    <xf numFmtId="167" fontId="0" fillId="19" borderId="37" xfId="0" applyNumberFormat="1" applyFill="1" applyBorder="1"/>
    <xf numFmtId="164" fontId="0" fillId="19" borderId="37" xfId="0" applyNumberFormat="1" applyFill="1" applyBorder="1"/>
    <xf numFmtId="0" fontId="33" fillId="19" borderId="0" xfId="0" applyFont="1" applyFill="1"/>
    <xf numFmtId="0" fontId="3" fillId="19" borderId="0" xfId="0" applyFont="1" applyFill="1" applyAlignment="1">
      <alignment wrapText="1"/>
    </xf>
    <xf numFmtId="2" fontId="0" fillId="19" borderId="37" xfId="0" applyNumberFormat="1" applyFill="1" applyBorder="1"/>
    <xf numFmtId="2" fontId="0" fillId="19" borderId="38" xfId="0" applyNumberFormat="1" applyFill="1" applyBorder="1"/>
    <xf numFmtId="0" fontId="31" fillId="19" borderId="0" xfId="0" applyFont="1" applyFill="1"/>
    <xf numFmtId="0" fontId="0" fillId="19" borderId="13" xfId="0" applyFill="1" applyBorder="1"/>
    <xf numFmtId="0" fontId="0" fillId="19" borderId="14" xfId="0" applyFill="1" applyBorder="1"/>
    <xf numFmtId="0" fontId="0" fillId="19" borderId="15" xfId="0" applyFill="1" applyBorder="1"/>
    <xf numFmtId="0" fontId="0" fillId="0" borderId="17" xfId="0" applyBorder="1" applyAlignment="1" applyProtection="1">
      <alignment horizontal="center"/>
      <protection locked="0"/>
    </xf>
    <xf numFmtId="9" fontId="0" fillId="0" borderId="17" xfId="0" applyNumberFormat="1" applyBorder="1" applyAlignment="1" applyProtection="1">
      <alignment horizontal="center"/>
      <protection locked="0"/>
    </xf>
    <xf numFmtId="4" fontId="3" fillId="0" borderId="17" xfId="0" applyNumberFormat="1" applyFont="1" applyBorder="1" applyProtection="1">
      <protection locked="0"/>
    </xf>
    <xf numFmtId="167" fontId="0" fillId="0" borderId="0" xfId="0" applyNumberFormat="1" applyProtection="1">
      <protection hidden="1"/>
    </xf>
    <xf numFmtId="172" fontId="3" fillId="0" borderId="0" xfId="0" applyNumberFormat="1" applyFont="1"/>
    <xf numFmtId="0" fontId="0" fillId="0" borderId="0" xfId="0" quotePrefix="1" applyProtection="1">
      <protection hidden="1"/>
    </xf>
    <xf numFmtId="0" fontId="2" fillId="20" borderId="0" xfId="0" applyFont="1" applyFill="1" applyAlignment="1" applyProtection="1">
      <alignment horizontal="left"/>
      <protection hidden="1"/>
    </xf>
    <xf numFmtId="2" fontId="0" fillId="0" borderId="0" xfId="0" applyNumberForma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8" fontId="0" fillId="0" borderId="0" xfId="0" quotePrefix="1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hidden="1"/>
    </xf>
    <xf numFmtId="168" fontId="0" fillId="0" borderId="0" xfId="0" applyNumberFormat="1" applyAlignment="1" applyProtection="1">
      <alignment horizontal="left"/>
      <protection hidden="1"/>
    </xf>
    <xf numFmtId="168" fontId="0" fillId="0" borderId="0" xfId="0" quotePrefix="1" applyNumberFormat="1" applyAlignment="1" applyProtection="1">
      <alignment horizontal="left"/>
      <protection hidden="1"/>
    </xf>
    <xf numFmtId="169" fontId="0" fillId="0" borderId="0" xfId="0" applyNumberFormat="1" applyAlignment="1" applyProtection="1">
      <alignment horizontal="left"/>
      <protection hidden="1"/>
    </xf>
    <xf numFmtId="0" fontId="0" fillId="21" borderId="0" xfId="0" applyFill="1" applyAlignment="1" applyProtection="1">
      <alignment horizontal="left"/>
      <protection hidden="1"/>
    </xf>
    <xf numFmtId="2" fontId="0" fillId="21" borderId="0" xfId="0" applyNumberFormat="1" applyFill="1" applyAlignment="1" applyProtection="1">
      <alignment horizontal="left"/>
      <protection hidden="1"/>
    </xf>
    <xf numFmtId="171" fontId="0" fillId="0" borderId="0" xfId="0" quotePrefix="1" applyNumberFormat="1" applyAlignment="1" applyProtection="1">
      <alignment horizontal="left"/>
      <protection hidden="1"/>
    </xf>
    <xf numFmtId="167" fontId="0" fillId="0" borderId="0" xfId="0" quotePrefix="1" applyNumberFormat="1" applyAlignment="1" applyProtection="1">
      <alignment horizontal="left"/>
      <protection hidden="1"/>
    </xf>
    <xf numFmtId="167" fontId="0" fillId="0" borderId="0" xfId="0" quotePrefix="1" applyNumberFormat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right"/>
      <protection hidden="1"/>
    </xf>
    <xf numFmtId="165" fontId="0" fillId="0" borderId="0" xfId="0" quotePrefix="1" applyNumberFormat="1" applyAlignment="1" applyProtection="1">
      <alignment horizontal="left"/>
      <protection hidden="1"/>
    </xf>
    <xf numFmtId="1" fontId="0" fillId="0" borderId="0" xfId="0" applyNumberFormat="1" applyAlignment="1" applyProtection="1">
      <alignment horizontal="right"/>
      <protection hidden="1"/>
    </xf>
    <xf numFmtId="0" fontId="36" fillId="22" borderId="22" xfId="21" applyFont="1" applyFill="1" applyBorder="1" applyAlignment="1" applyProtection="1">
      <alignment horizontal="centerContinuous"/>
      <protection hidden="1"/>
    </xf>
    <xf numFmtId="0" fontId="36" fillId="22" borderId="10" xfId="21" applyFont="1" applyFill="1" applyBorder="1" applyAlignment="1" applyProtection="1">
      <alignment horizontal="centerContinuous"/>
      <protection hidden="1"/>
    </xf>
    <xf numFmtId="0" fontId="38" fillId="22" borderId="32" xfId="21" applyFont="1" applyFill="1" applyBorder="1" applyAlignment="1" applyProtection="1">
      <alignment horizontal="centerContinuous"/>
      <protection hidden="1"/>
    </xf>
    <xf numFmtId="174" fontId="3" fillId="23" borderId="17" xfId="22" applyNumberFormat="1" applyFill="1" applyBorder="1"/>
    <xf numFmtId="0" fontId="3" fillId="23" borderId="17" xfId="22" applyFill="1" applyBorder="1"/>
    <xf numFmtId="174" fontId="3" fillId="23" borderId="22" xfId="21" applyNumberFormat="1" applyFill="1" applyBorder="1" applyAlignment="1">
      <alignment horizontal="right" vertical="center" indent="1"/>
    </xf>
    <xf numFmtId="170" fontId="44" fillId="0" borderId="0" xfId="0" applyNumberFormat="1" applyFont="1"/>
    <xf numFmtId="0" fontId="0" fillId="0" borderId="17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6" xfId="0" applyBorder="1" applyProtection="1">
      <protection locked="0"/>
    </xf>
    <xf numFmtId="0" fontId="0" fillId="24" borderId="0" xfId="0" applyFill="1"/>
    <xf numFmtId="0" fontId="0" fillId="0" borderId="17" xfId="0" applyBorder="1" applyAlignment="1" applyProtection="1">
      <alignment horizontal="right"/>
      <protection locked="0"/>
    </xf>
    <xf numFmtId="2" fontId="2" fillId="16" borderId="17" xfId="0" applyNumberFormat="1" applyFont="1" applyFill="1" applyBorder="1" applyAlignment="1">
      <alignment wrapText="1"/>
    </xf>
    <xf numFmtId="0" fontId="2" fillId="16" borderId="17" xfId="0" applyFont="1" applyFill="1" applyBorder="1"/>
    <xf numFmtId="164" fontId="2" fillId="16" borderId="17" xfId="0" applyNumberFormat="1" applyFont="1" applyFill="1" applyBorder="1"/>
    <xf numFmtId="0" fontId="45" fillId="24" borderId="0" xfId="0" applyFont="1" applyFill="1" applyAlignment="1" applyProtection="1">
      <alignment horizontal="center"/>
      <protection locked="0"/>
    </xf>
    <xf numFmtId="0" fontId="0" fillId="0" borderId="17" xfId="0" applyBorder="1"/>
    <xf numFmtId="0" fontId="46" fillId="19" borderId="0" xfId="0" applyFont="1" applyFill="1" applyAlignment="1" applyProtection="1">
      <alignment horizontal="center"/>
      <protection locked="0"/>
    </xf>
    <xf numFmtId="0" fontId="0" fillId="0" borderId="36" xfId="0" applyBorder="1"/>
    <xf numFmtId="175" fontId="0" fillId="25" borderId="40" xfId="0" applyNumberFormat="1" applyFill="1" applyBorder="1"/>
    <xf numFmtId="0" fontId="0" fillId="24" borderId="17" xfId="0" applyFill="1" applyBorder="1"/>
    <xf numFmtId="0" fontId="0" fillId="0" borderId="37" xfId="0" applyBorder="1"/>
    <xf numFmtId="166" fontId="0" fillId="24" borderId="41" xfId="0" applyNumberFormat="1" applyFill="1" applyBorder="1"/>
    <xf numFmtId="0" fontId="0" fillId="0" borderId="38" xfId="0" applyBorder="1"/>
    <xf numFmtId="0" fontId="0" fillId="25" borderId="42" xfId="0" applyFill="1" applyBorder="1" applyAlignment="1">
      <alignment horizontal="center"/>
    </xf>
    <xf numFmtId="175" fontId="0" fillId="24" borderId="16" xfId="0" applyNumberFormat="1" applyFill="1" applyBorder="1"/>
    <xf numFmtId="175" fontId="0" fillId="24" borderId="21" xfId="0" applyNumberFormat="1" applyFill="1" applyBorder="1"/>
    <xf numFmtId="0" fontId="2" fillId="0" borderId="39" xfId="0" applyFont="1" applyBorder="1"/>
    <xf numFmtId="0" fontId="2" fillId="0" borderId="43" xfId="0" applyFont="1" applyBorder="1" applyAlignment="1">
      <alignment horizontal="center"/>
    </xf>
    <xf numFmtId="0" fontId="2" fillId="0" borderId="0" xfId="0" applyFont="1"/>
    <xf numFmtId="0" fontId="2" fillId="0" borderId="3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0" borderId="24" xfId="0" applyBorder="1"/>
    <xf numFmtId="10" fontId="0" fillId="25" borderId="25" xfId="0" applyNumberFormat="1" applyFill="1" applyBorder="1"/>
    <xf numFmtId="175" fontId="0" fillId="24" borderId="24" xfId="0" applyNumberFormat="1" applyFill="1" applyBorder="1"/>
    <xf numFmtId="175" fontId="0" fillId="24" borderId="17" xfId="0" applyNumberFormat="1" applyFill="1" applyBorder="1"/>
    <xf numFmtId="175" fontId="0" fillId="24" borderId="25" xfId="0" applyNumberFormat="1" applyFill="1" applyBorder="1"/>
    <xf numFmtId="174" fontId="0" fillId="25" borderId="25" xfId="0" applyNumberFormat="1" applyFill="1" applyBorder="1"/>
    <xf numFmtId="0" fontId="0" fillId="0" borderId="45" xfId="0" applyBorder="1"/>
    <xf numFmtId="10" fontId="0" fillId="25" borderId="46" xfId="0" applyNumberFormat="1" applyFill="1" applyBorder="1"/>
    <xf numFmtId="175" fontId="0" fillId="24" borderId="45" xfId="0" applyNumberFormat="1" applyFill="1" applyBorder="1"/>
    <xf numFmtId="175" fontId="0" fillId="24" borderId="35" xfId="0" applyNumberFormat="1" applyFill="1" applyBorder="1"/>
    <xf numFmtId="175" fontId="0" fillId="24" borderId="46" xfId="0" applyNumberFormat="1" applyFill="1" applyBorder="1"/>
    <xf numFmtId="0" fontId="2" fillId="0" borderId="16" xfId="0" applyFont="1" applyBorder="1"/>
    <xf numFmtId="10" fontId="2" fillId="0" borderId="21" xfId="0" applyNumberFormat="1" applyFont="1" applyBorder="1"/>
    <xf numFmtId="175" fontId="2" fillId="24" borderId="16" xfId="0" applyNumberFormat="1" applyFont="1" applyFill="1" applyBorder="1"/>
    <xf numFmtId="175" fontId="2" fillId="24" borderId="23" xfId="0" applyNumberFormat="1" applyFont="1" applyFill="1" applyBorder="1"/>
    <xf numFmtId="175" fontId="2" fillId="24" borderId="21" xfId="0" applyNumberFormat="1" applyFont="1" applyFill="1" applyBorder="1"/>
    <xf numFmtId="0" fontId="0" fillId="25" borderId="22" xfId="0" applyFill="1" applyBorder="1"/>
    <xf numFmtId="10" fontId="0" fillId="0" borderId="0" xfId="0" applyNumberFormat="1"/>
    <xf numFmtId="175" fontId="0" fillId="0" borderId="0" xfId="0" applyNumberFormat="1"/>
    <xf numFmtId="3" fontId="0" fillId="0" borderId="0" xfId="0" applyNumberFormat="1"/>
    <xf numFmtId="0" fontId="27" fillId="24" borderId="18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7" fillId="24" borderId="20" xfId="0" applyFont="1" applyFill="1" applyBorder="1" applyAlignment="1">
      <alignment horizontal="center" vertical="center"/>
    </xf>
    <xf numFmtId="0" fontId="0" fillId="24" borderId="11" xfId="0" applyFill="1" applyBorder="1"/>
    <xf numFmtId="0" fontId="28" fillId="24" borderId="0" xfId="0" applyFont="1" applyFill="1" applyAlignment="1">
      <alignment wrapText="1"/>
    </xf>
    <xf numFmtId="0" fontId="0" fillId="24" borderId="12" xfId="0" applyFill="1" applyBorder="1"/>
    <xf numFmtId="0" fontId="0" fillId="24" borderId="19" xfId="0" applyFill="1" applyBorder="1"/>
    <xf numFmtId="0" fontId="3" fillId="24" borderId="0" xfId="0" applyFont="1" applyFill="1"/>
    <xf numFmtId="0" fontId="2" fillId="24" borderId="0" xfId="0" applyFont="1" applyFill="1"/>
    <xf numFmtId="2" fontId="2" fillId="24" borderId="36" xfId="0" applyNumberFormat="1" applyFont="1" applyFill="1" applyBorder="1" applyAlignment="1">
      <alignment wrapText="1"/>
    </xf>
    <xf numFmtId="0" fontId="0" fillId="24" borderId="37" xfId="0" applyFill="1" applyBorder="1"/>
    <xf numFmtId="0" fontId="0" fillId="24" borderId="37" xfId="0" applyFill="1" applyBorder="1" applyAlignment="1">
      <alignment horizontal="right"/>
    </xf>
    <xf numFmtId="0" fontId="29" fillId="24" borderId="0" xfId="0" applyFont="1" applyFill="1"/>
    <xf numFmtId="167" fontId="0" fillId="24" borderId="0" xfId="0" applyNumberFormat="1" applyFill="1" applyAlignment="1" applyProtection="1">
      <alignment horizontal="center"/>
      <protection locked="0"/>
    </xf>
    <xf numFmtId="167" fontId="0" fillId="24" borderId="37" xfId="0" applyNumberFormat="1" applyFill="1" applyBorder="1"/>
    <xf numFmtId="164" fontId="0" fillId="24" borderId="37" xfId="0" applyNumberFormat="1" applyFill="1" applyBorder="1"/>
    <xf numFmtId="0" fontId="33" fillId="24" borderId="0" xfId="0" applyFont="1" applyFill="1"/>
    <xf numFmtId="0" fontId="3" fillId="24" borderId="0" xfId="0" applyFont="1" applyFill="1" applyAlignment="1">
      <alignment wrapText="1"/>
    </xf>
    <xf numFmtId="2" fontId="0" fillId="24" borderId="37" xfId="0" applyNumberFormat="1" applyFill="1" applyBorder="1"/>
    <xf numFmtId="2" fontId="0" fillId="24" borderId="38" xfId="0" applyNumberFormat="1" applyFill="1" applyBorder="1"/>
    <xf numFmtId="0" fontId="31" fillId="24" borderId="0" xfId="0" applyFont="1" applyFill="1"/>
    <xf numFmtId="0" fontId="30" fillId="24" borderId="0" xfId="0" applyFont="1" applyFill="1"/>
    <xf numFmtId="170" fontId="1" fillId="24" borderId="0" xfId="30" applyNumberFormat="1" applyFont="1" applyFill="1" applyBorder="1"/>
    <xf numFmtId="170" fontId="3" fillId="24" borderId="0" xfId="30" applyNumberFormat="1" applyFont="1" applyFill="1" applyBorder="1"/>
    <xf numFmtId="4" fontId="3" fillId="24" borderId="0" xfId="0" applyNumberFormat="1" applyFont="1" applyFill="1"/>
    <xf numFmtId="0" fontId="0" fillId="24" borderId="47" xfId="0" applyFill="1" applyBorder="1"/>
    <xf numFmtId="4" fontId="0" fillId="24" borderId="47" xfId="0" applyNumberFormat="1" applyFill="1" applyBorder="1"/>
    <xf numFmtId="0" fontId="2" fillId="24" borderId="48" xfId="0" applyFont="1" applyFill="1" applyBorder="1"/>
    <xf numFmtId="4" fontId="2" fillId="24" borderId="48" xfId="0" applyNumberFormat="1" applyFont="1" applyFill="1" applyBorder="1"/>
    <xf numFmtId="0" fontId="32" fillId="24" borderId="0" xfId="0" applyFont="1" applyFill="1"/>
    <xf numFmtId="0" fontId="0" fillId="24" borderId="13" xfId="0" applyFill="1" applyBorder="1"/>
    <xf numFmtId="0" fontId="0" fillId="24" borderId="14" xfId="0" applyFill="1" applyBorder="1"/>
    <xf numFmtId="0" fontId="0" fillId="24" borderId="15" xfId="0" applyFill="1" applyBorder="1"/>
    <xf numFmtId="4" fontId="2" fillId="24" borderId="17" xfId="0" applyNumberFormat="1" applyFont="1" applyFill="1" applyBorder="1" applyAlignment="1" applyProtection="1">
      <alignment horizontal="center"/>
      <protection locked="0"/>
    </xf>
    <xf numFmtId="0" fontId="0" fillId="24" borderId="17" xfId="0" applyFill="1" applyBorder="1" applyAlignment="1" applyProtection="1">
      <alignment horizontal="center"/>
      <protection locked="0"/>
    </xf>
    <xf numFmtId="10" fontId="0" fillId="24" borderId="17" xfId="0" applyNumberFormat="1" applyFill="1" applyBorder="1" applyAlignment="1" applyProtection="1">
      <alignment horizontal="center"/>
      <protection locked="0"/>
    </xf>
    <xf numFmtId="0" fontId="0" fillId="24" borderId="35" xfId="0" applyFill="1" applyBorder="1" applyAlignment="1" applyProtection="1">
      <alignment horizontal="center"/>
      <protection locked="0"/>
    </xf>
    <xf numFmtId="4" fontId="3" fillId="24" borderId="17" xfId="0" applyNumberFormat="1" applyFont="1" applyFill="1" applyBorder="1" applyProtection="1">
      <protection locked="0"/>
    </xf>
    <xf numFmtId="0" fontId="40" fillId="20" borderId="49" xfId="21" applyFont="1" applyFill="1" applyBorder="1" applyProtection="1">
      <protection hidden="1"/>
    </xf>
    <xf numFmtId="0" fontId="47" fillId="26" borderId="14" xfId="21" applyFont="1" applyFill="1" applyBorder="1" applyAlignment="1">
      <alignment horizontal="center" vertical="center"/>
    </xf>
    <xf numFmtId="0" fontId="36" fillId="20" borderId="50" xfId="21" applyFont="1" applyFill="1" applyBorder="1" applyProtection="1">
      <protection hidden="1"/>
    </xf>
    <xf numFmtId="0" fontId="3" fillId="0" borderId="0" xfId="21"/>
    <xf numFmtId="0" fontId="38" fillId="22" borderId="32" xfId="21" applyFont="1" applyFill="1" applyBorder="1" applyAlignment="1">
      <alignment horizontal="centerContinuous" vertical="center"/>
    </xf>
    <xf numFmtId="0" fontId="39" fillId="22" borderId="22" xfId="21" applyFont="1" applyFill="1" applyBorder="1" applyAlignment="1">
      <alignment horizontal="centerContinuous"/>
    </xf>
    <xf numFmtId="0" fontId="39" fillId="22" borderId="17" xfId="21" applyFont="1" applyFill="1" applyBorder="1" applyAlignment="1">
      <alignment horizontal="centerContinuous"/>
    </xf>
    <xf numFmtId="0" fontId="2" fillId="21" borderId="51" xfId="21" applyFont="1" applyFill="1" applyBorder="1" applyProtection="1">
      <protection hidden="1"/>
    </xf>
    <xf numFmtId="0" fontId="3" fillId="25" borderId="19" xfId="21" applyFill="1" applyBorder="1" applyProtection="1">
      <protection hidden="1"/>
    </xf>
    <xf numFmtId="0" fontId="37" fillId="22" borderId="52" xfId="21" applyFont="1" applyFill="1" applyBorder="1"/>
    <xf numFmtId="0" fontId="37" fillId="22" borderId="31" xfId="21" applyFont="1" applyFill="1" applyBorder="1" applyAlignment="1">
      <alignment horizontal="center"/>
    </xf>
    <xf numFmtId="0" fontId="37" fillId="22" borderId="52" xfId="21" applyFont="1" applyFill="1" applyBorder="1" applyAlignment="1">
      <alignment horizontal="right"/>
    </xf>
    <xf numFmtId="0" fontId="37" fillId="22" borderId="17" xfId="21" applyFont="1" applyFill="1" applyBorder="1" applyAlignment="1">
      <alignment horizontal="center"/>
    </xf>
    <xf numFmtId="2" fontId="3" fillId="0" borderId="29" xfId="21" applyNumberFormat="1" applyBorder="1" applyProtection="1">
      <protection hidden="1"/>
    </xf>
    <xf numFmtId="0" fontId="3" fillId="0" borderId="0" xfId="21" applyProtection="1">
      <protection hidden="1"/>
    </xf>
    <xf numFmtId="0" fontId="3" fillId="0" borderId="53" xfId="21" applyBorder="1" applyProtection="1">
      <protection hidden="1"/>
    </xf>
    <xf numFmtId="0" fontId="3" fillId="0" borderId="54" xfId="21" applyBorder="1" applyAlignment="1">
      <alignment vertical="center"/>
    </xf>
    <xf numFmtId="174" fontId="3" fillId="25" borderId="22" xfId="21" applyNumberFormat="1" applyFill="1" applyBorder="1" applyAlignment="1">
      <alignment horizontal="right" vertical="center" indent="1"/>
    </xf>
    <xf numFmtId="0" fontId="3" fillId="23" borderId="0" xfId="21" applyFill="1"/>
    <xf numFmtId="0" fontId="3" fillId="0" borderId="17" xfId="21" applyBorder="1" applyAlignment="1">
      <alignment vertical="center"/>
    </xf>
    <xf numFmtId="10" fontId="3" fillId="25" borderId="17" xfId="21" applyNumberFormat="1" applyFill="1" applyBorder="1" applyAlignment="1">
      <alignment horizontal="right" vertical="center" indent="1"/>
    </xf>
    <xf numFmtId="0" fontId="3" fillId="23" borderId="0" xfId="21" applyFill="1" applyAlignment="1">
      <alignment horizontal="right"/>
    </xf>
    <xf numFmtId="10" fontId="3" fillId="25" borderId="54" xfId="21" applyNumberFormat="1" applyFill="1" applyBorder="1" applyAlignment="1">
      <alignment horizontal="right" vertical="center" indent="1"/>
    </xf>
    <xf numFmtId="174" fontId="3" fillId="23" borderId="17" xfId="21" applyNumberFormat="1" applyFill="1" applyBorder="1"/>
    <xf numFmtId="0" fontId="3" fillId="23" borderId="17" xfId="21" applyFill="1" applyBorder="1"/>
    <xf numFmtId="171" fontId="3" fillId="0" borderId="29" xfId="21" applyNumberFormat="1" applyBorder="1" applyProtection="1">
      <protection hidden="1"/>
    </xf>
    <xf numFmtId="0" fontId="0" fillId="0" borderId="17" xfId="21" applyFont="1" applyBorder="1" applyAlignment="1">
      <alignment vertical="center"/>
    </xf>
    <xf numFmtId="10" fontId="3" fillId="25" borderId="17" xfId="21" applyNumberFormat="1" applyFill="1" applyBorder="1" applyAlignment="1">
      <alignment horizontal="center"/>
    </xf>
    <xf numFmtId="2" fontId="3" fillId="0" borderId="53" xfId="21" applyNumberFormat="1" applyBorder="1" applyProtection="1">
      <protection hidden="1"/>
    </xf>
    <xf numFmtId="0" fontId="2" fillId="21" borderId="0" xfId="21" applyFont="1" applyFill="1" applyProtection="1">
      <protection hidden="1"/>
    </xf>
    <xf numFmtId="0" fontId="3" fillId="25" borderId="0" xfId="21" applyFill="1" applyProtection="1">
      <protection hidden="1"/>
    </xf>
    <xf numFmtId="0" fontId="3" fillId="25" borderId="53" xfId="21" applyFill="1" applyBorder="1" applyProtection="1">
      <protection hidden="1"/>
    </xf>
    <xf numFmtId="0" fontId="37" fillId="22" borderId="55" xfId="21" applyFont="1" applyFill="1" applyBorder="1" applyProtection="1">
      <protection hidden="1"/>
    </xf>
    <xf numFmtId="0" fontId="37" fillId="22" borderId="55" xfId="21" applyFont="1" applyFill="1" applyBorder="1" applyAlignment="1">
      <alignment horizontal="center"/>
    </xf>
    <xf numFmtId="0" fontId="3" fillId="23" borderId="0" xfId="21" applyFill="1" applyProtection="1">
      <protection hidden="1"/>
    </xf>
    <xf numFmtId="3" fontId="3" fillId="25" borderId="54" xfId="21" applyNumberFormat="1" applyFill="1" applyBorder="1" applyAlignment="1" applyProtection="1">
      <alignment horizontal="right" indent="1"/>
      <protection hidden="1"/>
    </xf>
    <xf numFmtId="0" fontId="2" fillId="0" borderId="56" xfId="21" applyFont="1" applyBorder="1"/>
    <xf numFmtId="3" fontId="3" fillId="25" borderId="17" xfId="21" applyNumberFormat="1" applyFill="1" applyBorder="1" applyAlignment="1" applyProtection="1">
      <alignment horizontal="right" indent="1"/>
      <protection hidden="1"/>
    </xf>
    <xf numFmtId="0" fontId="3" fillId="0" borderId="57" xfId="21" applyBorder="1"/>
    <xf numFmtId="3" fontId="3" fillId="0" borderId="53" xfId="21" applyNumberFormat="1" applyBorder="1" applyProtection="1">
      <protection hidden="1"/>
    </xf>
    <xf numFmtId="165" fontId="3" fillId="25" borderId="17" xfId="21" applyNumberFormat="1" applyFill="1" applyBorder="1" applyAlignment="1">
      <alignment horizontal="right" vertical="center" indent="1"/>
    </xf>
    <xf numFmtId="0" fontId="3" fillId="0" borderId="35" xfId="21" applyBorder="1" applyAlignment="1">
      <alignment vertical="center"/>
    </xf>
    <xf numFmtId="4" fontId="3" fillId="25" borderId="35" xfId="21" applyNumberFormat="1" applyFill="1" applyBorder="1" applyAlignment="1">
      <alignment horizontal="right" vertical="center" indent="1"/>
    </xf>
    <xf numFmtId="0" fontId="3" fillId="0" borderId="17" xfId="21" applyBorder="1"/>
    <xf numFmtId="3" fontId="3" fillId="25" borderId="17" xfId="21" applyNumberFormat="1" applyFill="1" applyBorder="1" applyAlignment="1" applyProtection="1">
      <alignment horizontal="right" vertical="center" indent="1"/>
      <protection hidden="1"/>
    </xf>
    <xf numFmtId="0" fontId="2" fillId="21" borderId="29" xfId="21" applyFont="1" applyFill="1" applyBorder="1" applyProtection="1">
      <protection hidden="1"/>
    </xf>
    <xf numFmtId="0" fontId="3" fillId="0" borderId="29" xfId="21" applyBorder="1"/>
    <xf numFmtId="0" fontId="3" fillId="0" borderId="55" xfId="21" applyBorder="1"/>
    <xf numFmtId="4" fontId="3" fillId="25" borderId="55" xfId="21" applyNumberFormat="1" applyFill="1" applyBorder="1" applyAlignment="1" applyProtection="1">
      <alignment horizontal="right" vertical="center" indent="1"/>
      <protection hidden="1"/>
    </xf>
    <xf numFmtId="0" fontId="3" fillId="0" borderId="58" xfId="21" applyBorder="1"/>
    <xf numFmtId="3" fontId="3" fillId="25" borderId="17" xfId="21" applyNumberFormat="1" applyFill="1" applyBorder="1" applyAlignment="1">
      <alignment horizontal="right" vertical="center" indent="1"/>
    </xf>
    <xf numFmtId="0" fontId="2" fillId="0" borderId="57" xfId="21" applyFont="1" applyBorder="1" applyAlignment="1">
      <alignment vertical="center"/>
    </xf>
    <xf numFmtId="3" fontId="3" fillId="25" borderId="35" xfId="21" applyNumberFormat="1" applyFill="1" applyBorder="1" applyAlignment="1">
      <alignment horizontal="right" vertical="center" indent="1"/>
    </xf>
    <xf numFmtId="0" fontId="3" fillId="0" borderId="55" xfId="21" applyBorder="1" applyAlignment="1">
      <alignment vertical="center"/>
    </xf>
    <xf numFmtId="3" fontId="3" fillId="25" borderId="55" xfId="21" applyNumberFormat="1" applyFill="1" applyBorder="1" applyAlignment="1">
      <alignment horizontal="right" vertical="center" indent="1"/>
    </xf>
    <xf numFmtId="3" fontId="3" fillId="25" borderId="53" xfId="21" applyNumberFormat="1" applyFill="1" applyBorder="1" applyProtection="1">
      <protection hidden="1"/>
    </xf>
    <xf numFmtId="3" fontId="3" fillId="25" borderId="54" xfId="21" applyNumberFormat="1" applyFill="1" applyBorder="1" applyAlignment="1">
      <alignment horizontal="right" vertical="center" indent="1"/>
    </xf>
    <xf numFmtId="0" fontId="2" fillId="0" borderId="57" xfId="21" applyFont="1" applyBorder="1"/>
    <xf numFmtId="4" fontId="3" fillId="0" borderId="53" xfId="21" applyNumberFormat="1" applyBorder="1" applyProtection="1">
      <protection hidden="1"/>
    </xf>
    <xf numFmtId="0" fontId="3" fillId="0" borderId="56" xfId="21" applyBorder="1"/>
    <xf numFmtId="4" fontId="3" fillId="25" borderId="54" xfId="21" applyNumberFormat="1" applyFill="1" applyBorder="1" applyAlignment="1" applyProtection="1">
      <alignment horizontal="right" vertical="center" indent="1"/>
      <protection hidden="1"/>
    </xf>
    <xf numFmtId="0" fontId="3" fillId="0" borderId="52" xfId="21" applyBorder="1"/>
    <xf numFmtId="4" fontId="3" fillId="25" borderId="27" xfId="21" applyNumberFormat="1" applyFill="1" applyBorder="1" applyAlignment="1" applyProtection="1">
      <alignment horizontal="right" vertical="center" indent="1"/>
      <protection hidden="1"/>
    </xf>
    <xf numFmtId="0" fontId="3" fillId="0" borderId="0" xfId="21" applyAlignment="1">
      <alignment vertical="center"/>
    </xf>
    <xf numFmtId="0" fontId="3" fillId="0" borderId="0" xfId="21" applyAlignment="1" applyProtection="1">
      <alignment vertical="center"/>
      <protection hidden="1"/>
    </xf>
    <xf numFmtId="4" fontId="3" fillId="0" borderId="53" xfId="21" applyNumberFormat="1" applyBorder="1" applyAlignment="1" applyProtection="1">
      <alignment vertical="center"/>
      <protection hidden="1"/>
    </xf>
    <xf numFmtId="4" fontId="3" fillId="25" borderId="58" xfId="21" applyNumberFormat="1" applyFill="1" applyBorder="1" applyAlignment="1" applyProtection="1">
      <alignment horizontal="right" vertical="center" indent="1"/>
      <protection hidden="1"/>
    </xf>
    <xf numFmtId="0" fontId="2" fillId="0" borderId="58" xfId="21" applyFont="1" applyBorder="1"/>
    <xf numFmtId="0" fontId="2" fillId="0" borderId="29" xfId="21" applyFont="1" applyBorder="1" applyProtection="1">
      <protection hidden="1"/>
    </xf>
    <xf numFmtId="4" fontId="3" fillId="25" borderId="17" xfId="21" applyNumberFormat="1" applyFill="1" applyBorder="1" applyAlignment="1" applyProtection="1">
      <alignment horizontal="right" vertical="center" indent="1"/>
      <protection hidden="1"/>
    </xf>
    <xf numFmtId="4" fontId="3" fillId="25" borderId="53" xfId="21" applyNumberFormat="1" applyFill="1" applyBorder="1" applyProtection="1">
      <protection hidden="1"/>
    </xf>
    <xf numFmtId="0" fontId="3" fillId="0" borderId="54" xfId="21" applyBorder="1"/>
    <xf numFmtId="0" fontId="2" fillId="21" borderId="59" xfId="21" applyFont="1" applyFill="1" applyBorder="1" applyProtection="1">
      <protection hidden="1"/>
    </xf>
    <xf numFmtId="0" fontId="3" fillId="25" borderId="47" xfId="21" applyFill="1" applyBorder="1" applyProtection="1">
      <protection hidden="1"/>
    </xf>
    <xf numFmtId="3" fontId="3" fillId="25" borderId="60" xfId="21" applyNumberFormat="1" applyFill="1" applyBorder="1" applyProtection="1">
      <protection hidden="1"/>
    </xf>
    <xf numFmtId="173" fontId="3" fillId="25" borderId="60" xfId="21" applyNumberFormat="1" applyFill="1" applyBorder="1" applyProtection="1">
      <protection hidden="1"/>
    </xf>
    <xf numFmtId="0" fontId="40" fillId="23" borderId="49" xfId="22" applyFont="1" applyFill="1" applyBorder="1" applyProtection="1">
      <protection hidden="1"/>
    </xf>
    <xf numFmtId="0" fontId="47" fillId="23" borderId="14" xfId="22" applyFont="1" applyFill="1" applyBorder="1" applyAlignment="1">
      <alignment horizontal="center" vertical="center"/>
    </xf>
    <xf numFmtId="0" fontId="36" fillId="23" borderId="50" xfId="22" applyFont="1" applyFill="1" applyBorder="1" applyProtection="1">
      <protection hidden="1"/>
    </xf>
    <xf numFmtId="0" fontId="3" fillId="23" borderId="0" xfId="22" applyFill="1"/>
    <xf numFmtId="0" fontId="38" fillId="23" borderId="32" xfId="22" applyFont="1" applyFill="1" applyBorder="1" applyAlignment="1">
      <alignment horizontal="centerContinuous" vertical="center"/>
    </xf>
    <xf numFmtId="0" fontId="39" fillId="23" borderId="22" xfId="22" applyFont="1" applyFill="1" applyBorder="1" applyAlignment="1">
      <alignment horizontal="centerContinuous"/>
    </xf>
    <xf numFmtId="0" fontId="39" fillId="23" borderId="17" xfId="22" applyFont="1" applyFill="1" applyBorder="1" applyAlignment="1">
      <alignment horizontal="centerContinuous"/>
    </xf>
    <xf numFmtId="0" fontId="2" fillId="23" borderId="51" xfId="22" applyFont="1" applyFill="1" applyBorder="1" applyProtection="1">
      <protection hidden="1"/>
    </xf>
    <xf numFmtId="0" fontId="3" fillId="23" borderId="19" xfId="22" applyFill="1" applyBorder="1" applyProtection="1">
      <protection hidden="1"/>
    </xf>
    <xf numFmtId="0" fontId="3" fillId="23" borderId="61" xfId="22" applyFill="1" applyBorder="1" applyProtection="1">
      <protection hidden="1"/>
    </xf>
    <xf numFmtId="0" fontId="37" fillId="23" borderId="52" xfId="22" applyFont="1" applyFill="1" applyBorder="1"/>
    <xf numFmtId="0" fontId="37" fillId="23" borderId="31" xfId="22" applyFont="1" applyFill="1" applyBorder="1" applyAlignment="1">
      <alignment horizontal="center"/>
    </xf>
    <xf numFmtId="0" fontId="37" fillId="23" borderId="52" xfId="22" applyFont="1" applyFill="1" applyBorder="1" applyAlignment="1">
      <alignment horizontal="right"/>
    </xf>
    <xf numFmtId="2" fontId="3" fillId="23" borderId="29" xfId="22" applyNumberFormat="1" applyFill="1" applyBorder="1" applyProtection="1">
      <protection hidden="1"/>
    </xf>
    <xf numFmtId="0" fontId="3" fillId="23" borderId="0" xfId="22" applyFill="1" applyProtection="1">
      <protection hidden="1"/>
    </xf>
    <xf numFmtId="0" fontId="3" fillId="23" borderId="53" xfId="22" applyFill="1" applyBorder="1" applyProtection="1">
      <protection hidden="1"/>
    </xf>
    <xf numFmtId="0" fontId="3" fillId="23" borderId="54" xfId="21" applyFill="1" applyBorder="1" applyAlignment="1">
      <alignment vertical="center"/>
    </xf>
    <xf numFmtId="0" fontId="3" fillId="23" borderId="17" xfId="21" applyFill="1" applyBorder="1" applyAlignment="1">
      <alignment vertical="center"/>
    </xf>
    <xf numFmtId="10" fontId="3" fillId="23" borderId="17" xfId="21" applyNumberFormat="1" applyFill="1" applyBorder="1" applyAlignment="1">
      <alignment horizontal="right" vertical="center" indent="1"/>
    </xf>
    <xf numFmtId="3" fontId="3" fillId="23" borderId="53" xfId="22" applyNumberFormat="1" applyFill="1" applyBorder="1" applyProtection="1">
      <protection locked="0"/>
    </xf>
    <xf numFmtId="10" fontId="3" fillId="23" borderId="54" xfId="21" applyNumberFormat="1" applyFill="1" applyBorder="1" applyAlignment="1">
      <alignment horizontal="right" vertical="center" indent="1"/>
    </xf>
    <xf numFmtId="0" fontId="3" fillId="23" borderId="53" xfId="22" applyFill="1" applyBorder="1" applyProtection="1">
      <protection locked="0"/>
    </xf>
    <xf numFmtId="1" fontId="3" fillId="23" borderId="53" xfId="22" applyNumberFormat="1" applyFill="1" applyBorder="1" applyAlignment="1" applyProtection="1">
      <alignment horizontal="right"/>
      <protection hidden="1"/>
    </xf>
    <xf numFmtId="1" fontId="3" fillId="23" borderId="53" xfId="22" applyNumberFormat="1" applyFill="1" applyBorder="1" applyProtection="1">
      <protection hidden="1"/>
    </xf>
    <xf numFmtId="3" fontId="3" fillId="23" borderId="53" xfId="22" applyNumberFormat="1" applyFill="1" applyBorder="1" applyAlignment="1" applyProtection="1">
      <alignment horizontal="right"/>
      <protection hidden="1"/>
    </xf>
    <xf numFmtId="0" fontId="43" fillId="23" borderId="17" xfId="21" applyFont="1" applyFill="1" applyBorder="1" applyAlignment="1">
      <alignment vertical="center"/>
    </xf>
    <xf numFmtId="171" fontId="3" fillId="23" borderId="29" xfId="22" applyNumberFormat="1" applyFill="1" applyBorder="1" applyProtection="1">
      <protection hidden="1"/>
    </xf>
    <xf numFmtId="165" fontId="3" fillId="23" borderId="53" xfId="22" applyNumberFormat="1" applyFill="1" applyBorder="1" applyAlignment="1" applyProtection="1">
      <alignment horizontal="right"/>
      <protection hidden="1"/>
    </xf>
    <xf numFmtId="10" fontId="3" fillId="23" borderId="17" xfId="22" applyNumberFormat="1" applyFill="1" applyBorder="1" applyAlignment="1">
      <alignment horizontal="center"/>
    </xf>
    <xf numFmtId="2" fontId="3" fillId="23" borderId="53" xfId="22" applyNumberFormat="1" applyFill="1" applyBorder="1" applyProtection="1">
      <protection hidden="1"/>
    </xf>
    <xf numFmtId="0" fontId="2" fillId="23" borderId="0" xfId="22" applyFont="1" applyFill="1" applyProtection="1">
      <protection hidden="1"/>
    </xf>
    <xf numFmtId="0" fontId="38" fillId="23" borderId="32" xfId="21" applyFont="1" applyFill="1" applyBorder="1" applyAlignment="1" applyProtection="1">
      <alignment horizontal="centerContinuous"/>
      <protection hidden="1"/>
    </xf>
    <xf numFmtId="0" fontId="36" fillId="23" borderId="10" xfId="21" applyFont="1" applyFill="1" applyBorder="1" applyAlignment="1" applyProtection="1">
      <alignment horizontal="centerContinuous"/>
      <protection hidden="1"/>
    </xf>
    <xf numFmtId="0" fontId="36" fillId="23" borderId="22" xfId="21" applyFont="1" applyFill="1" applyBorder="1" applyAlignment="1" applyProtection="1">
      <alignment horizontal="centerContinuous"/>
      <protection hidden="1"/>
    </xf>
    <xf numFmtId="0" fontId="37" fillId="23" borderId="55" xfId="21" applyFont="1" applyFill="1" applyBorder="1" applyProtection="1">
      <protection hidden="1"/>
    </xf>
    <xf numFmtId="0" fontId="37" fillId="23" borderId="55" xfId="22" applyFont="1" applyFill="1" applyBorder="1" applyAlignment="1">
      <alignment horizontal="center"/>
    </xf>
    <xf numFmtId="3" fontId="3" fillId="23" borderId="54" xfId="21" applyNumberFormat="1" applyFill="1" applyBorder="1" applyAlignment="1" applyProtection="1">
      <alignment horizontal="right" indent="1"/>
      <protection hidden="1"/>
    </xf>
    <xf numFmtId="0" fontId="2" fillId="23" borderId="56" xfId="21" applyFont="1" applyFill="1" applyBorder="1"/>
    <xf numFmtId="3" fontId="3" fillId="23" borderId="17" xfId="21" applyNumberFormat="1" applyFill="1" applyBorder="1" applyAlignment="1" applyProtection="1">
      <alignment horizontal="right" indent="1"/>
      <protection hidden="1"/>
    </xf>
    <xf numFmtId="0" fontId="3" fillId="23" borderId="57" xfId="21" applyFill="1" applyBorder="1"/>
    <xf numFmtId="3" fontId="3" fillId="23" borderId="53" xfId="22" applyNumberFormat="1" applyFill="1" applyBorder="1" applyProtection="1">
      <protection hidden="1"/>
    </xf>
    <xf numFmtId="165" fontId="3" fillId="23" borderId="17" xfId="21" applyNumberFormat="1" applyFill="1" applyBorder="1" applyAlignment="1">
      <alignment horizontal="right" vertical="center" indent="1"/>
    </xf>
    <xf numFmtId="0" fontId="3" fillId="23" borderId="35" xfId="21" applyFill="1" applyBorder="1" applyAlignment="1">
      <alignment vertical="center"/>
    </xf>
    <xf numFmtId="4" fontId="3" fillId="23" borderId="35" xfId="21" applyNumberFormat="1" applyFill="1" applyBorder="1" applyAlignment="1">
      <alignment horizontal="right" vertical="center" indent="1"/>
    </xf>
    <xf numFmtId="3" fontId="3" fillId="23" borderId="17" xfId="21" applyNumberFormat="1" applyFill="1" applyBorder="1" applyAlignment="1" applyProtection="1">
      <alignment horizontal="right" vertical="center" indent="1"/>
      <protection hidden="1"/>
    </xf>
    <xf numFmtId="0" fontId="2" fillId="23" borderId="29" xfId="22" applyFont="1" applyFill="1" applyBorder="1" applyProtection="1">
      <protection hidden="1"/>
    </xf>
    <xf numFmtId="0" fontId="3" fillId="23" borderId="29" xfId="22" applyFill="1" applyBorder="1"/>
    <xf numFmtId="0" fontId="3" fillId="23" borderId="55" xfId="21" applyFill="1" applyBorder="1"/>
    <xf numFmtId="4" fontId="3" fillId="23" borderId="55" xfId="21" applyNumberFormat="1" applyFill="1" applyBorder="1" applyAlignment="1" applyProtection="1">
      <alignment horizontal="right" vertical="center" indent="1"/>
      <protection hidden="1"/>
    </xf>
    <xf numFmtId="0" fontId="3" fillId="23" borderId="58" xfId="21" applyFill="1" applyBorder="1"/>
    <xf numFmtId="3" fontId="3" fillId="23" borderId="17" xfId="21" applyNumberFormat="1" applyFill="1" applyBorder="1" applyAlignment="1">
      <alignment horizontal="right" vertical="center" indent="1"/>
    </xf>
    <xf numFmtId="0" fontId="2" fillId="23" borderId="57" xfId="21" applyFont="1" applyFill="1" applyBorder="1" applyAlignment="1">
      <alignment vertical="center"/>
    </xf>
    <xf numFmtId="3" fontId="3" fillId="23" borderId="35" xfId="21" applyNumberFormat="1" applyFill="1" applyBorder="1" applyAlignment="1">
      <alignment horizontal="right" vertical="center" indent="1"/>
    </xf>
    <xf numFmtId="0" fontId="3" fillId="23" borderId="55" xfId="21" applyFill="1" applyBorder="1" applyAlignment="1">
      <alignment vertical="center"/>
    </xf>
    <xf numFmtId="3" fontId="3" fillId="23" borderId="55" xfId="21" applyNumberFormat="1" applyFill="1" applyBorder="1" applyAlignment="1">
      <alignment horizontal="right" vertical="center" indent="1"/>
    </xf>
    <xf numFmtId="3" fontId="3" fillId="23" borderId="54" xfId="21" applyNumberFormat="1" applyFill="1" applyBorder="1" applyAlignment="1">
      <alignment horizontal="right" vertical="center" indent="1"/>
    </xf>
    <xf numFmtId="0" fontId="2" fillId="23" borderId="57" xfId="21" applyFont="1" applyFill="1" applyBorder="1"/>
    <xf numFmtId="4" fontId="3" fillId="23" borderId="53" xfId="22" applyNumberFormat="1" applyFill="1" applyBorder="1" applyProtection="1">
      <protection hidden="1"/>
    </xf>
    <xf numFmtId="0" fontId="3" fillId="23" borderId="56" xfId="21" applyFill="1" applyBorder="1"/>
    <xf numFmtId="4" fontId="3" fillId="23" borderId="54" xfId="21" applyNumberFormat="1" applyFill="1" applyBorder="1" applyAlignment="1" applyProtection="1">
      <alignment horizontal="right" vertical="center" indent="1"/>
      <protection hidden="1"/>
    </xf>
    <xf numFmtId="0" fontId="3" fillId="23" borderId="0" xfId="22" applyFill="1" applyAlignment="1">
      <alignment vertical="center"/>
    </xf>
    <xf numFmtId="165" fontId="3" fillId="23" borderId="53" xfId="21" applyNumberFormat="1" applyFill="1" applyBorder="1" applyAlignment="1" applyProtection="1">
      <alignment vertical="center"/>
      <protection hidden="1"/>
    </xf>
    <xf numFmtId="4" fontId="3" fillId="23" borderId="58" xfId="21" applyNumberFormat="1" applyFill="1" applyBorder="1" applyAlignment="1" applyProtection="1">
      <alignment horizontal="right" vertical="center" indent="1"/>
      <protection hidden="1"/>
    </xf>
    <xf numFmtId="0" fontId="2" fillId="23" borderId="58" xfId="21" applyFont="1" applyFill="1" applyBorder="1"/>
    <xf numFmtId="0" fontId="3" fillId="23" borderId="0" xfId="22" applyFill="1" applyAlignment="1" applyProtection="1">
      <alignment vertical="center"/>
      <protection hidden="1"/>
    </xf>
    <xf numFmtId="4" fontId="3" fillId="23" borderId="53" xfId="22" applyNumberFormat="1" applyFill="1" applyBorder="1" applyAlignment="1" applyProtection="1">
      <alignment vertical="center"/>
      <protection hidden="1"/>
    </xf>
    <xf numFmtId="4" fontId="3" fillId="23" borderId="17" xfId="21" applyNumberFormat="1" applyFill="1" applyBorder="1" applyAlignment="1" applyProtection="1">
      <alignment horizontal="right" vertical="center" indent="1"/>
      <protection hidden="1"/>
    </xf>
    <xf numFmtId="0" fontId="3" fillId="23" borderId="54" xfId="21" applyFill="1" applyBorder="1"/>
    <xf numFmtId="0" fontId="2" fillId="23" borderId="59" xfId="22" applyFont="1" applyFill="1" applyBorder="1" applyProtection="1">
      <protection hidden="1"/>
    </xf>
    <xf numFmtId="0" fontId="3" fillId="23" borderId="47" xfId="22" applyFill="1" applyBorder="1" applyProtection="1">
      <protection hidden="1"/>
    </xf>
    <xf numFmtId="3" fontId="3" fillId="23" borderId="60" xfId="22" applyNumberFormat="1" applyFill="1" applyBorder="1" applyProtection="1">
      <protection hidden="1"/>
    </xf>
    <xf numFmtId="173" fontId="3" fillId="23" borderId="60" xfId="22" applyNumberFormat="1" applyFill="1" applyBorder="1" applyProtection="1">
      <protection hidden="1"/>
    </xf>
    <xf numFmtId="0" fontId="2" fillId="0" borderId="62" xfId="0" applyFont="1" applyBorder="1" applyProtection="1">
      <protection locked="0"/>
    </xf>
    <xf numFmtId="0" fontId="0" fillId="0" borderId="63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4" xfId="0" applyBorder="1" applyAlignment="1">
      <alignment horizontal="center"/>
    </xf>
    <xf numFmtId="174" fontId="3" fillId="27" borderId="22" xfId="21" applyNumberFormat="1" applyFill="1" applyBorder="1" applyAlignment="1">
      <alignment horizontal="right" vertical="center" indent="1"/>
    </xf>
    <xf numFmtId="4" fontId="3" fillId="23" borderId="57" xfId="21" applyNumberFormat="1" applyFill="1" applyBorder="1" applyAlignment="1" applyProtection="1">
      <alignment horizontal="right" vertical="center" indent="1"/>
      <protection hidden="1"/>
    </xf>
    <xf numFmtId="0" fontId="3" fillId="23" borderId="61" xfId="21" applyFill="1" applyBorder="1" applyProtection="1">
      <protection hidden="1"/>
    </xf>
    <xf numFmtId="0" fontId="3" fillId="23" borderId="53" xfId="21" applyFill="1" applyBorder="1" applyProtection="1">
      <protection hidden="1"/>
    </xf>
    <xf numFmtId="3" fontId="3" fillId="23" borderId="53" xfId="21" applyNumberFormat="1" applyFill="1" applyBorder="1" applyProtection="1">
      <protection locked="0"/>
    </xf>
    <xf numFmtId="0" fontId="3" fillId="23" borderId="53" xfId="21" applyFill="1" applyBorder="1" applyProtection="1">
      <protection locked="0"/>
    </xf>
    <xf numFmtId="1" fontId="3" fillId="23" borderId="53" xfId="21" applyNumberFormat="1" applyFill="1" applyBorder="1" applyAlignment="1" applyProtection="1">
      <alignment horizontal="right"/>
      <protection hidden="1"/>
    </xf>
    <xf numFmtId="1" fontId="3" fillId="23" borderId="53" xfId="21" applyNumberFormat="1" applyFill="1" applyBorder="1" applyProtection="1">
      <protection hidden="1"/>
    </xf>
    <xf numFmtId="3" fontId="3" fillId="23" borderId="53" xfId="21" applyNumberFormat="1" applyFill="1" applyBorder="1" applyAlignment="1" applyProtection="1">
      <alignment horizontal="right"/>
      <protection hidden="1"/>
    </xf>
    <xf numFmtId="165" fontId="3" fillId="23" borderId="53" xfId="21" applyNumberFormat="1" applyFill="1" applyBorder="1" applyAlignment="1" applyProtection="1">
      <alignment horizontal="right"/>
      <protection hidden="1"/>
    </xf>
    <xf numFmtId="2" fontId="3" fillId="23" borderId="53" xfId="21" applyNumberFormat="1" applyFill="1" applyBorder="1" applyProtection="1">
      <protection hidden="1"/>
    </xf>
    <xf numFmtId="0" fontId="36" fillId="0" borderId="0" xfId="21" applyFont="1" applyProtection="1">
      <protection hidden="1"/>
    </xf>
    <xf numFmtId="3" fontId="3" fillId="0" borderId="0" xfId="21" applyNumberFormat="1" applyProtection="1">
      <protection locked="0"/>
    </xf>
    <xf numFmtId="0" fontId="3" fillId="0" borderId="0" xfId="21" applyProtection="1">
      <protection locked="0"/>
    </xf>
    <xf numFmtId="1" fontId="3" fillId="0" borderId="0" xfId="21" applyNumberFormat="1" applyAlignment="1" applyProtection="1">
      <alignment horizontal="right"/>
      <protection hidden="1"/>
    </xf>
    <xf numFmtId="1" fontId="3" fillId="0" borderId="0" xfId="21" applyNumberFormat="1" applyProtection="1">
      <protection hidden="1"/>
    </xf>
    <xf numFmtId="3" fontId="3" fillId="0" borderId="0" xfId="21" applyNumberFormat="1" applyAlignment="1" applyProtection="1">
      <alignment horizontal="right"/>
      <protection hidden="1"/>
    </xf>
    <xf numFmtId="165" fontId="3" fillId="0" borderId="0" xfId="21" applyNumberFormat="1" applyAlignment="1" applyProtection="1">
      <alignment horizontal="right"/>
      <protection hidden="1"/>
    </xf>
    <xf numFmtId="2" fontId="3" fillId="0" borderId="0" xfId="21" applyNumberFormat="1" applyProtection="1">
      <protection hidden="1"/>
    </xf>
    <xf numFmtId="3" fontId="3" fillId="0" borderId="0" xfId="21" applyNumberFormat="1" applyProtection="1">
      <protection hidden="1"/>
    </xf>
    <xf numFmtId="4" fontId="3" fillId="0" borderId="0" xfId="21" applyNumberFormat="1" applyProtection="1">
      <protection hidden="1"/>
    </xf>
    <xf numFmtId="165" fontId="3" fillId="0" borderId="0" xfId="21" applyNumberFormat="1" applyAlignment="1" applyProtection="1">
      <alignment vertical="center"/>
      <protection hidden="1"/>
    </xf>
    <xf numFmtId="4" fontId="3" fillId="0" borderId="0" xfId="21" applyNumberFormat="1" applyAlignment="1" applyProtection="1">
      <alignment vertical="center"/>
      <protection hidden="1"/>
    </xf>
    <xf numFmtId="173" fontId="3" fillId="0" borderId="0" xfId="21" applyNumberFormat="1" applyProtection="1">
      <protection hidden="1"/>
    </xf>
    <xf numFmtId="0" fontId="3" fillId="23" borderId="0" xfId="21" applyFill="1" applyAlignment="1">
      <alignment vertical="center"/>
    </xf>
    <xf numFmtId="3" fontId="3" fillId="29" borderId="54" xfId="21" applyNumberFormat="1" applyFill="1" applyBorder="1" applyAlignment="1" applyProtection="1">
      <alignment horizontal="right" indent="1"/>
      <protection hidden="1"/>
    </xf>
    <xf numFmtId="3" fontId="3" fillId="29" borderId="17" xfId="21" applyNumberFormat="1" applyFill="1" applyBorder="1" applyAlignment="1" applyProtection="1">
      <alignment horizontal="right" indent="1"/>
      <protection hidden="1"/>
    </xf>
    <xf numFmtId="165" fontId="3" fillId="29" borderId="17" xfId="21" applyNumberFormat="1" applyFill="1" applyBorder="1" applyAlignment="1">
      <alignment horizontal="right" vertical="center" indent="1"/>
    </xf>
    <xf numFmtId="4" fontId="3" fillId="29" borderId="35" xfId="21" applyNumberFormat="1" applyFill="1" applyBorder="1" applyAlignment="1">
      <alignment horizontal="right" vertical="center" indent="1"/>
    </xf>
    <xf numFmtId="3" fontId="3" fillId="29" borderId="17" xfId="21" applyNumberFormat="1" applyFill="1" applyBorder="1" applyAlignment="1" applyProtection="1">
      <alignment horizontal="right" vertical="center" indent="1"/>
      <protection hidden="1"/>
    </xf>
    <xf numFmtId="4" fontId="3" fillId="29" borderId="55" xfId="21" applyNumberFormat="1" applyFill="1" applyBorder="1" applyAlignment="1" applyProtection="1">
      <alignment horizontal="right" vertical="center" indent="1"/>
      <protection hidden="1"/>
    </xf>
    <xf numFmtId="3" fontId="3" fillId="29" borderId="35" xfId="21" applyNumberFormat="1" applyFill="1" applyBorder="1" applyAlignment="1">
      <alignment horizontal="right" vertical="center" indent="1"/>
    </xf>
    <xf numFmtId="3" fontId="3" fillId="29" borderId="55" xfId="21" applyNumberFormat="1" applyFill="1" applyBorder="1" applyAlignment="1">
      <alignment horizontal="right" vertical="center" indent="1"/>
    </xf>
    <xf numFmtId="3" fontId="3" fillId="29" borderId="54" xfId="21" applyNumberFormat="1" applyFill="1" applyBorder="1" applyAlignment="1">
      <alignment horizontal="right" vertical="center" indent="1"/>
    </xf>
    <xf numFmtId="4" fontId="3" fillId="29" borderId="54" xfId="21" applyNumberFormat="1" applyFill="1" applyBorder="1" applyAlignment="1" applyProtection="1">
      <alignment horizontal="right" vertical="center" indent="1"/>
      <protection hidden="1"/>
    </xf>
    <xf numFmtId="4" fontId="3" fillId="29" borderId="27" xfId="21" applyNumberFormat="1" applyFill="1" applyBorder="1" applyAlignment="1" applyProtection="1">
      <alignment horizontal="right" vertical="center" indent="1"/>
      <protection hidden="1"/>
    </xf>
    <xf numFmtId="4" fontId="3" fillId="29" borderId="17" xfId="21" applyNumberFormat="1" applyFill="1" applyBorder="1" applyAlignment="1" applyProtection="1">
      <alignment horizontal="right" vertical="center" indent="1"/>
      <protection hidden="1"/>
    </xf>
    <xf numFmtId="174" fontId="3" fillId="29" borderId="22" xfId="21" applyNumberFormat="1" applyFill="1" applyBorder="1" applyAlignment="1">
      <alignment horizontal="right" vertical="center" indent="1"/>
    </xf>
    <xf numFmtId="10" fontId="3" fillId="29" borderId="17" xfId="21" applyNumberFormat="1" applyFill="1" applyBorder="1" applyAlignment="1">
      <alignment horizontal="right" vertical="center" indent="1"/>
    </xf>
    <xf numFmtId="10" fontId="3" fillId="29" borderId="54" xfId="21" applyNumberFormat="1" applyFill="1" applyBorder="1" applyAlignment="1">
      <alignment horizontal="right" vertical="center" indent="1"/>
    </xf>
    <xf numFmtId="10" fontId="3" fillId="29" borderId="17" xfId="21" applyNumberFormat="1" applyFill="1" applyBorder="1" applyAlignment="1">
      <alignment horizontal="center"/>
    </xf>
    <xf numFmtId="0" fontId="3" fillId="29" borderId="0" xfId="21" applyFill="1"/>
    <xf numFmtId="0" fontId="3" fillId="29" borderId="0" xfId="21" applyFill="1" applyProtection="1">
      <protection hidden="1"/>
    </xf>
    <xf numFmtId="4" fontId="0" fillId="24" borderId="41" xfId="0" applyNumberFormat="1" applyFill="1" applyBorder="1"/>
    <xf numFmtId="3" fontId="3" fillId="30" borderId="17" xfId="21" applyNumberFormat="1" applyFill="1" applyBorder="1" applyAlignment="1">
      <alignment horizontal="right" vertical="center" indent="1"/>
    </xf>
    <xf numFmtId="3" fontId="3" fillId="30" borderId="17" xfId="21" applyNumberFormat="1" applyFill="1" applyBorder="1" applyAlignment="1" applyProtection="1">
      <alignment horizontal="right" indent="1"/>
      <protection hidden="1"/>
    </xf>
    <xf numFmtId="0" fontId="3" fillId="30" borderId="0" xfId="21" applyFill="1"/>
    <xf numFmtId="4" fontId="3" fillId="0" borderId="54" xfId="21" applyNumberFormat="1" applyBorder="1" applyAlignment="1" applyProtection="1">
      <alignment horizontal="right" vertical="center" indent="1"/>
      <protection hidden="1"/>
    </xf>
    <xf numFmtId="4" fontId="3" fillId="0" borderId="58" xfId="21" applyNumberFormat="1" applyBorder="1" applyAlignment="1" applyProtection="1">
      <alignment horizontal="right" vertical="center" indent="1"/>
      <protection hidden="1"/>
    </xf>
    <xf numFmtId="3" fontId="3" fillId="29" borderId="17" xfId="21" applyNumberFormat="1" applyFill="1" applyBorder="1" applyAlignment="1">
      <alignment horizontal="right" vertical="center" indent="1"/>
    </xf>
    <xf numFmtId="167" fontId="3" fillId="23" borderId="0" xfId="21" applyNumberFormat="1" applyFill="1"/>
    <xf numFmtId="167" fontId="3" fillId="23" borderId="0" xfId="21" applyNumberFormat="1" applyFill="1" applyProtection="1">
      <protection hidden="1"/>
    </xf>
    <xf numFmtId="167" fontId="3" fillId="29" borderId="0" xfId="21" applyNumberFormat="1" applyFill="1" applyProtection="1">
      <protection hidden="1"/>
    </xf>
    <xf numFmtId="167" fontId="3" fillId="0" borderId="0" xfId="21" applyNumberFormat="1" applyProtection="1">
      <protection hidden="1"/>
    </xf>
    <xf numFmtId="167" fontId="3" fillId="0" borderId="0" xfId="21" applyNumberFormat="1"/>
    <xf numFmtId="3" fontId="3" fillId="29" borderId="53" xfId="21" applyNumberFormat="1" applyFill="1" applyBorder="1" applyProtection="1">
      <protection hidden="1"/>
    </xf>
    <xf numFmtId="4" fontId="3" fillId="29" borderId="53" xfId="21" applyNumberFormat="1" applyFill="1" applyBorder="1" applyProtection="1">
      <protection hidden="1"/>
    </xf>
    <xf numFmtId="4" fontId="3" fillId="29" borderId="53" xfId="21" applyNumberFormat="1" applyFill="1" applyBorder="1" applyAlignment="1" applyProtection="1">
      <alignment vertical="center"/>
      <protection hidden="1"/>
    </xf>
    <xf numFmtId="165" fontId="3" fillId="29" borderId="53" xfId="21" applyNumberFormat="1" applyFill="1" applyBorder="1" applyAlignment="1" applyProtection="1">
      <alignment vertical="center"/>
      <protection hidden="1"/>
    </xf>
    <xf numFmtId="0" fontId="3" fillId="29" borderId="53" xfId="21" applyFill="1" applyBorder="1" applyProtection="1">
      <protection hidden="1"/>
    </xf>
    <xf numFmtId="0" fontId="0" fillId="0" borderId="33" xfId="0" applyBorder="1" applyProtection="1">
      <protection locked="0"/>
    </xf>
    <xf numFmtId="0" fontId="0" fillId="0" borderId="68" xfId="0" applyBorder="1" applyAlignment="1">
      <alignment horizontal="center"/>
    </xf>
    <xf numFmtId="10" fontId="0" fillId="32" borderId="17" xfId="0" applyNumberFormat="1" applyFill="1" applyBorder="1" applyProtection="1">
      <protection locked="0"/>
    </xf>
    <xf numFmtId="10" fontId="0" fillId="32" borderId="25" xfId="0" applyNumberFormat="1" applyFill="1" applyBorder="1" applyProtection="1">
      <protection locked="0"/>
    </xf>
    <xf numFmtId="0" fontId="3" fillId="0" borderId="27" xfId="21" applyBorder="1"/>
    <xf numFmtId="10" fontId="0" fillId="32" borderId="27" xfId="0" applyNumberFormat="1" applyFill="1" applyBorder="1" applyProtection="1">
      <protection locked="0"/>
    </xf>
    <xf numFmtId="10" fontId="0" fillId="32" borderId="28" xfId="0" applyNumberFormat="1" applyFill="1" applyBorder="1" applyProtection="1">
      <protection locked="0"/>
    </xf>
    <xf numFmtId="10" fontId="0" fillId="32" borderId="54" xfId="0" applyNumberFormat="1" applyFill="1" applyBorder="1" applyProtection="1">
      <protection locked="0"/>
    </xf>
    <xf numFmtId="10" fontId="0" fillId="32" borderId="70" xfId="0" applyNumberFormat="1" applyFill="1" applyBorder="1" applyProtection="1">
      <protection locked="0"/>
    </xf>
    <xf numFmtId="0" fontId="48" fillId="31" borderId="23" xfId="0" applyFont="1" applyFill="1" applyBorder="1" applyAlignment="1" applyProtection="1">
      <alignment horizontal="left"/>
      <protection hidden="1"/>
    </xf>
    <xf numFmtId="0" fontId="48" fillId="31" borderId="21" xfId="0" applyFont="1" applyFill="1" applyBorder="1" applyAlignment="1" applyProtection="1">
      <alignment horizontal="left"/>
      <protection hidden="1"/>
    </xf>
    <xf numFmtId="10" fontId="44" fillId="33" borderId="17" xfId="21" applyNumberFormat="1" applyFont="1" applyFill="1" applyBorder="1" applyAlignment="1">
      <alignment horizontal="right" vertical="center" indent="1"/>
    </xf>
    <xf numFmtId="174" fontId="44" fillId="33" borderId="22" xfId="21" applyNumberFormat="1" applyFont="1" applyFill="1" applyBorder="1" applyAlignment="1">
      <alignment horizontal="right" vertical="center" indent="1"/>
    </xf>
    <xf numFmtId="0" fontId="48" fillId="31" borderId="62" xfId="0" applyFont="1" applyFill="1" applyBorder="1" applyAlignment="1" applyProtection="1">
      <alignment horizontal="left"/>
      <protection hidden="1"/>
    </xf>
    <xf numFmtId="10" fontId="0" fillId="32" borderId="59" xfId="0" applyNumberFormat="1" applyFill="1" applyBorder="1" applyProtection="1">
      <protection locked="0"/>
    </xf>
    <xf numFmtId="10" fontId="0" fillId="32" borderId="32" xfId="0" applyNumberFormat="1" applyFill="1" applyBorder="1" applyProtection="1">
      <protection locked="0"/>
    </xf>
    <xf numFmtId="10" fontId="0" fillId="32" borderId="49" xfId="0" applyNumberFormat="1" applyFill="1" applyBorder="1" applyProtection="1">
      <protection locked="0"/>
    </xf>
    <xf numFmtId="165" fontId="3" fillId="25" borderId="53" xfId="21" applyNumberFormat="1" applyFill="1" applyBorder="1" applyAlignment="1" applyProtection="1">
      <alignment horizontal="right"/>
      <protection hidden="1"/>
    </xf>
    <xf numFmtId="0" fontId="6" fillId="18" borderId="32" xfId="0" applyFont="1" applyFill="1" applyBorder="1" applyAlignment="1" applyProtection="1">
      <alignment horizontal="left" wrapText="1"/>
      <protection hidden="1"/>
    </xf>
    <xf numFmtId="0" fontId="6" fillId="18" borderId="10" xfId="0" applyFont="1" applyFill="1" applyBorder="1" applyAlignment="1" applyProtection="1">
      <alignment horizontal="left" wrapText="1"/>
      <protection hidden="1"/>
    </xf>
    <xf numFmtId="0" fontId="1" fillId="0" borderId="65" xfId="0" applyFont="1" applyBorder="1" applyAlignment="1" applyProtection="1">
      <alignment horizontal="center"/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27" fillId="17" borderId="65" xfId="0" applyFont="1" applyFill="1" applyBorder="1" applyAlignment="1">
      <alignment horizontal="center" vertical="center"/>
    </xf>
    <xf numFmtId="0" fontId="27" fillId="17" borderId="67" xfId="0" applyFont="1" applyFill="1" applyBorder="1" applyAlignment="1">
      <alignment horizontal="center" vertical="center"/>
    </xf>
    <xf numFmtId="0" fontId="27" fillId="17" borderId="66" xfId="0" applyFont="1" applyFill="1" applyBorder="1" applyAlignment="1">
      <alignment horizontal="center" vertical="center"/>
    </xf>
    <xf numFmtId="0" fontId="23" fillId="0" borderId="0" xfId="16" applyAlignment="1" applyProtection="1">
      <alignment horizontal="left"/>
    </xf>
    <xf numFmtId="0" fontId="3" fillId="19" borderId="0" xfId="0" applyFont="1" applyFill="1" applyAlignment="1">
      <alignment horizontal="left" wrapText="1"/>
    </xf>
    <xf numFmtId="0" fontId="0" fillId="0" borderId="3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 wrapText="1"/>
      <protection locked="0"/>
    </xf>
    <xf numFmtId="0" fontId="3" fillId="0" borderId="22" xfId="0" applyFont="1" applyBorder="1" applyAlignment="1" applyProtection="1">
      <alignment horizontal="left" wrapText="1"/>
      <protection locked="0"/>
    </xf>
    <xf numFmtId="0" fontId="0" fillId="24" borderId="17" xfId="0" applyFill="1" applyBorder="1" applyAlignment="1" applyProtection="1">
      <alignment horizontal="left"/>
      <protection locked="0"/>
    </xf>
    <xf numFmtId="0" fontId="3" fillId="24" borderId="17" xfId="0" applyFont="1" applyFill="1" applyBorder="1" applyAlignment="1" applyProtection="1">
      <alignment horizontal="left" wrapText="1"/>
      <protection locked="0"/>
    </xf>
    <xf numFmtId="0" fontId="48" fillId="28" borderId="65" xfId="0" applyFont="1" applyFill="1" applyBorder="1" applyAlignment="1">
      <alignment horizontal="left"/>
    </xf>
    <xf numFmtId="0" fontId="48" fillId="28" borderId="67" xfId="0" applyFont="1" applyFill="1" applyBorder="1" applyAlignment="1">
      <alignment horizontal="left"/>
    </xf>
    <xf numFmtId="0" fontId="48" fillId="28" borderId="66" xfId="0" applyFont="1" applyFill="1" applyBorder="1" applyAlignment="1">
      <alignment horizontal="left"/>
    </xf>
    <xf numFmtId="0" fontId="3" fillId="24" borderId="0" xfId="0" applyFont="1" applyFill="1" applyAlignment="1">
      <alignment horizontal="left" wrapText="1"/>
    </xf>
    <xf numFmtId="0" fontId="36" fillId="24" borderId="32" xfId="0" applyFont="1" applyFill="1" applyBorder="1" applyAlignment="1">
      <alignment horizontal="left" vertical="center" wrapText="1"/>
    </xf>
    <xf numFmtId="0" fontId="36" fillId="24" borderId="10" xfId="0" applyFont="1" applyFill="1" applyBorder="1" applyAlignment="1">
      <alignment horizontal="left" vertical="center" wrapText="1"/>
    </xf>
    <xf numFmtId="0" fontId="36" fillId="24" borderId="22" xfId="0" applyFont="1" applyFill="1" applyBorder="1" applyAlignment="1">
      <alignment horizontal="left" vertical="center" wrapText="1"/>
    </xf>
    <xf numFmtId="0" fontId="27" fillId="17" borderId="65" xfId="0" applyFont="1" applyFill="1" applyBorder="1" applyAlignment="1" applyProtection="1">
      <alignment horizontal="center" vertical="center"/>
      <protection hidden="1"/>
    </xf>
    <xf numFmtId="0" fontId="27" fillId="17" borderId="67" xfId="0" applyFont="1" applyFill="1" applyBorder="1" applyAlignment="1" applyProtection="1">
      <alignment horizontal="center" vertical="center"/>
      <protection hidden="1"/>
    </xf>
    <xf numFmtId="0" fontId="27" fillId="17" borderId="66" xfId="0" applyFont="1" applyFill="1" applyBorder="1" applyAlignment="1" applyProtection="1">
      <alignment horizontal="center" vertical="center"/>
      <protection hidden="1"/>
    </xf>
    <xf numFmtId="0" fontId="23" fillId="0" borderId="0" xfId="16" applyAlignment="1" applyProtection="1">
      <alignment horizontal="left"/>
      <protection hidden="1"/>
    </xf>
    <xf numFmtId="0" fontId="0" fillId="0" borderId="24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38" fillId="22" borderId="29" xfId="21" applyFont="1" applyFill="1" applyBorder="1" applyAlignment="1">
      <alignment horizontal="center" vertical="center"/>
    </xf>
    <xf numFmtId="0" fontId="38" fillId="22" borderId="0" xfId="21" applyFont="1" applyFill="1" applyAlignment="1">
      <alignment horizontal="center" vertical="center"/>
    </xf>
    <xf numFmtId="0" fontId="48" fillId="31" borderId="16" xfId="0" applyFont="1" applyFill="1" applyBorder="1" applyAlignment="1" applyProtection="1">
      <alignment horizontal="left"/>
      <protection hidden="1"/>
    </xf>
    <xf numFmtId="0" fontId="48" fillId="31" borderId="23" xfId="0" applyFont="1" applyFill="1" applyBorder="1" applyAlignment="1" applyProtection="1">
      <alignment horizontal="left"/>
      <protection hidden="1"/>
    </xf>
    <xf numFmtId="0" fontId="0" fillId="0" borderId="69" xfId="0" applyBorder="1" applyAlignment="1" applyProtection="1">
      <alignment horizontal="left"/>
      <protection hidden="1"/>
    </xf>
    <xf numFmtId="0" fontId="0" fillId="0" borderId="54" xfId="0" applyBorder="1" applyAlignment="1" applyProtection="1">
      <alignment horizontal="left"/>
      <protection hidden="1"/>
    </xf>
  </cellXfs>
  <cellStyles count="3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gebnis 1" xfId="11" xr:uid="{00000000-0005-0000-0000-00000A000000}"/>
    <cellStyle name="Erklärender Text" xfId="12" builtinId="53" customBuiltin="1"/>
    <cellStyle name="Euro" xfId="13" xr:uid="{00000000-0005-0000-0000-00000C000000}"/>
    <cellStyle name="Gut" xfId="14" builtinId="26" customBuiltin="1"/>
    <cellStyle name="Hyperlink_Fluktuationsquotenrechner_PEO" xfId="15" xr:uid="{00000000-0005-0000-0000-00000E000000}"/>
    <cellStyle name="Link" xfId="16" builtinId="8"/>
    <cellStyle name="Neutral" xfId="17" builtinId="28" customBuiltin="1"/>
    <cellStyle name="Notiz" xfId="18" builtinId="10" customBuiltin="1"/>
    <cellStyle name="Schlecht" xfId="19" builtinId="27" customBuiltin="1"/>
    <cellStyle name="Standard" xfId="0" builtinId="0"/>
    <cellStyle name="Standard 2" xfId="20" xr:uid="{00000000-0005-0000-0000-000014000000}"/>
    <cellStyle name="Standard 2 2 2" xfId="21" xr:uid="{00000000-0005-0000-0000-000015000000}"/>
    <cellStyle name="Standard 3" xfId="22" xr:uid="{00000000-0005-0000-0000-000016000000}"/>
    <cellStyle name="Überschrift" xfId="23" builtinId="15" customBuiltin="1"/>
    <cellStyle name="Überschrift 1" xfId="24" builtinId="16" customBuiltin="1"/>
    <cellStyle name="Überschrift 1 1" xfId="25" xr:uid="{00000000-0005-0000-0000-000019000000}"/>
    <cellStyle name="Überschrift 2" xfId="26" builtinId="17" customBuiltin="1"/>
    <cellStyle name="Überschrift 3" xfId="27" builtinId="18" customBuiltin="1"/>
    <cellStyle name="Überschrift 4" xfId="28" builtinId="19" customBuiltin="1"/>
    <cellStyle name="Verknüpfte Zelle" xfId="29" builtinId="24" customBuiltin="1"/>
    <cellStyle name="Währung" xfId="30" builtinId="4"/>
    <cellStyle name="Währung 2" xfId="31" xr:uid="{00000000-0005-0000-0000-00001F000000}"/>
    <cellStyle name="Warnender Text" xfId="32" builtinId="11" customBuiltin="1"/>
    <cellStyle name="Zelle überprüfen" xfId="33" builtinId="23" customBuiltin="1"/>
  </cellStyles>
  <dxfs count="3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AF7D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6F1F7"/>
      <rgbColor rgb="003366FF"/>
      <rgbColor rgb="0033CCCC"/>
      <rgbColor rgb="00EBEBEB"/>
      <rgbColor rgb="000668AF"/>
      <rgbColor rgb="006B9535"/>
      <rgbColor rgb="00E6F1F7"/>
      <rgbColor rgb="00666699"/>
      <rgbColor rgb="00969696"/>
      <rgbColor rgb="00003366"/>
      <rgbColor rgb="00339966"/>
      <rgbColor rgb="00003300"/>
      <rgbColor rgb="007AB031"/>
      <rgbColor rgb="000668A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List" dx="22" fmlaLink="$N$9" fmlaRange="Parameter_Intern!$C$5:$C$8" noThreeD="1" sel="1" val="0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9</xdr:col>
      <xdr:colOff>133350</xdr:colOff>
      <xdr:row>6</xdr:row>
      <xdr:rowOff>533400</xdr:rowOff>
    </xdr:to>
    <xdr:sp macro="" textlink="">
      <xdr:nvSpPr>
        <xdr:cNvPr id="21616" name="Text 2">
          <a:extLst>
            <a:ext uri="{FF2B5EF4-FFF2-40B4-BE49-F238E27FC236}">
              <a16:creationId xmlns:a16="http://schemas.microsoft.com/office/drawing/2014/main" id="{00000000-0008-0000-0000-000070540000}"/>
            </a:ext>
          </a:extLst>
        </xdr:cNvPr>
        <xdr:cNvSpPr txBox="1">
          <a:spLocks noChangeArrowheads="1"/>
        </xdr:cNvSpPr>
      </xdr:nvSpPr>
      <xdr:spPr bwMode="auto">
        <a:xfrm>
          <a:off x="771525" y="1447800"/>
          <a:ext cx="4581525" cy="69532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Lohnsteuer-Rechner 2023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können Sie ausgehend vom Bruttolohn die Lohnsteuer und Abzüge für die Sozialversicherungen berechnen.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7</xdr:col>
      <xdr:colOff>85725</xdr:colOff>
      <xdr:row>17</xdr:row>
      <xdr:rowOff>9525</xdr:rowOff>
    </xdr:to>
    <xdr:sp macro="" textlink="">
      <xdr:nvSpPr>
        <xdr:cNvPr id="22008" name="AutoShape 4">
          <a:extLst>
            <a:ext uri="{FF2B5EF4-FFF2-40B4-BE49-F238E27FC236}">
              <a16:creationId xmlns:a16="http://schemas.microsoft.com/office/drawing/2014/main" id="{00000000-0008-0000-0000-0000F8550000}"/>
            </a:ext>
          </a:extLst>
        </xdr:cNvPr>
        <xdr:cNvSpPr>
          <a:spLocks noChangeArrowheads="1"/>
        </xdr:cNvSpPr>
      </xdr:nvSpPr>
      <xdr:spPr bwMode="auto">
        <a:xfrm rot="5400000">
          <a:off x="3381375" y="4048125"/>
          <a:ext cx="495300" cy="209550"/>
        </a:xfrm>
        <a:prstGeom prst="triangle">
          <a:avLst>
            <a:gd name="adj" fmla="val 50000"/>
          </a:avLst>
        </a:prstGeom>
        <a:solidFill>
          <a:srgbClr val="6B953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95250</xdr:rowOff>
    </xdr:to>
    <xdr:grpSp>
      <xdr:nvGrpSpPr>
        <xdr:cNvPr id="22009" name="Group 3">
          <a:extLst>
            <a:ext uri="{FF2B5EF4-FFF2-40B4-BE49-F238E27FC236}">
              <a16:creationId xmlns:a16="http://schemas.microsoft.com/office/drawing/2014/main" id="{00000000-0008-0000-0000-0000F9550000}"/>
            </a:ext>
          </a:extLst>
        </xdr:cNvPr>
        <xdr:cNvGrpSpPr>
          <a:grpSpLocks/>
        </xdr:cNvGrpSpPr>
      </xdr:nvGrpSpPr>
      <xdr:grpSpPr bwMode="auto">
        <a:xfrm>
          <a:off x="762000" y="3933825"/>
          <a:ext cx="4600575" cy="2847975"/>
          <a:chOff x="80" y="514"/>
          <a:chExt cx="483" cy="299"/>
        </a:xfrm>
      </xdr:grpSpPr>
      <xdr:sp macro="" textlink="">
        <xdr:nvSpPr>
          <xdr:cNvPr id="21620" name="Text Box 6">
            <a:extLst>
              <a:ext uri="{FF2B5EF4-FFF2-40B4-BE49-F238E27FC236}">
                <a16:creationId xmlns:a16="http://schemas.microsoft.com/office/drawing/2014/main" id="{00000000-0008-0000-0000-0000745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14"/>
            <a:ext cx="483" cy="299"/>
          </a:xfrm>
          <a:prstGeom prst="rect">
            <a:avLst/>
          </a:prstGeom>
          <a:solidFill>
            <a:srgbClr val="E6F1F7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Damit diese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Anwendung funktioniert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müssen die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Makro-Einstellungen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 "niedrig" eingestellt sein.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2003: 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 Einstellung können Sie im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Menü: Extras / Makro / Sicherheit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vornehmen.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2007: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Sicherheitswarnung: "Makros wurden deaktiviert" - Optionen anklicken und mit "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diesen Inhalt aktivieren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 bestätigen (siehe Bild).</a:t>
            </a:r>
          </a:p>
        </xdr:txBody>
      </xdr:sp>
      <xdr:pic>
        <xdr:nvPicPr>
          <xdr:cNvPr id="22012" name="Grafik 6" descr="startseite_fertig.jpg">
            <a:extLst>
              <a:ext uri="{FF2B5EF4-FFF2-40B4-BE49-F238E27FC236}">
                <a16:creationId xmlns:a16="http://schemas.microsoft.com/office/drawing/2014/main" id="{00000000-0008-0000-0000-0000FC5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" y="692"/>
            <a:ext cx="413" cy="113"/>
          </a:xfrm>
          <a:prstGeom prst="rect">
            <a:avLst/>
          </a:prstGeom>
          <a:solidFill>
            <a:srgbClr val="E6F1F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38100</xdr:rowOff>
        </xdr:from>
        <xdr:to>
          <xdr:col>5</xdr:col>
          <xdr:colOff>0</xdr:colOff>
          <xdr:row>15</xdr:row>
          <xdr:rowOff>95250</xdr:rowOff>
        </xdr:to>
        <xdr:sp macro="" textlink="">
          <xdr:nvSpPr>
            <xdr:cNvPr id="21511" name="List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35</xdr:row>
      <xdr:rowOff>133350</xdr:rowOff>
    </xdr:from>
    <xdr:to>
      <xdr:col>13</xdr:col>
      <xdr:colOff>59055</xdr:colOff>
      <xdr:row>37</xdr:row>
      <xdr:rowOff>57150</xdr:rowOff>
    </xdr:to>
    <xdr:pic macro="[0]!DieseArbeitsmappe.AnspringenBerechnung">
      <xdr:nvPicPr>
        <xdr:cNvPr id="31882" name="Picture 41">
          <a:extLst>
            <a:ext uri="{FF2B5EF4-FFF2-40B4-BE49-F238E27FC236}">
              <a16:creationId xmlns:a16="http://schemas.microsoft.com/office/drawing/2014/main" id="{00000000-0008-0000-0100-00008A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59721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1749" name="Button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?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31756" name="Button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1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?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1761" name="Button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1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?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31764" name="Button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1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?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39</xdr:row>
      <xdr:rowOff>114300</xdr:rowOff>
    </xdr:from>
    <xdr:to>
      <xdr:col>9</xdr:col>
      <xdr:colOff>114300</xdr:colOff>
      <xdr:row>41</xdr:row>
      <xdr:rowOff>26670</xdr:rowOff>
    </xdr:to>
    <xdr:pic macro="[0]!DieseArbeitsmappe.AnspringenEingaben">
      <xdr:nvPicPr>
        <xdr:cNvPr id="33880" name="Picture 39">
          <a:extLst>
            <a:ext uri="{FF2B5EF4-FFF2-40B4-BE49-F238E27FC236}">
              <a16:creationId xmlns:a16="http://schemas.microsoft.com/office/drawing/2014/main" id="{00000000-0008-0000-02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6257925"/>
          <a:ext cx="13049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61</xdr:row>
      <xdr:rowOff>133350</xdr:rowOff>
    </xdr:from>
    <xdr:to>
      <xdr:col>8</xdr:col>
      <xdr:colOff>571500</xdr:colOff>
      <xdr:row>63</xdr:row>
      <xdr:rowOff>76200</xdr:rowOff>
    </xdr:to>
    <xdr:pic macro="[0]!DieseArbeitsmappe.AnspringenEingaben">
      <xdr:nvPicPr>
        <xdr:cNvPr id="35052" name="Picture 39">
          <a:extLst>
            <a:ext uri="{FF2B5EF4-FFF2-40B4-BE49-F238E27FC236}">
              <a16:creationId xmlns:a16="http://schemas.microsoft.com/office/drawing/2014/main" id="{00000000-0008-0000-0300-0000EC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8202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666750</xdr:colOff>
      <xdr:row>61</xdr:row>
      <xdr:rowOff>133350</xdr:rowOff>
    </xdr:from>
    <xdr:to>
      <xdr:col>14</xdr:col>
      <xdr:colOff>9525</xdr:colOff>
      <xdr:row>63</xdr:row>
      <xdr:rowOff>76200</xdr:rowOff>
    </xdr:to>
    <xdr:pic macro="[0]!DieseArbeitsmappe.AnspringenBerechnung">
      <xdr:nvPicPr>
        <xdr:cNvPr id="35053" name="Picture 41">
          <a:extLst>
            <a:ext uri="{FF2B5EF4-FFF2-40B4-BE49-F238E27FC236}">
              <a16:creationId xmlns:a16="http://schemas.microsoft.com/office/drawing/2014/main" id="{00000000-0008-0000-0300-0000ED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98202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752475</xdr:colOff>
      <xdr:row>2</xdr:row>
      <xdr:rowOff>0</xdr:rowOff>
    </xdr:from>
    <xdr:to>
      <xdr:col>14</xdr:col>
      <xdr:colOff>0</xdr:colOff>
      <xdr:row>18</xdr:row>
      <xdr:rowOff>136173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8E8609F7-02F0-46C3-98BC-46616009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23850"/>
          <a:ext cx="6229350" cy="2993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76200</xdr:rowOff>
    </xdr:from>
    <xdr:to>
      <xdr:col>14</xdr:col>
      <xdr:colOff>2605</xdr:colOff>
      <xdr:row>56</xdr:row>
      <xdr:rowOff>76200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CCD87571-A081-44F9-A3C4-B6384F5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19475"/>
          <a:ext cx="6222430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72390</xdr:rowOff>
    </xdr:from>
    <xdr:to>
      <xdr:col>4</xdr:col>
      <xdr:colOff>19050</xdr:colOff>
      <xdr:row>6</xdr:row>
      <xdr:rowOff>80114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00000000-0008-0000-0500-000084080000}"/>
            </a:ext>
          </a:extLst>
        </xdr:cNvPr>
        <xdr:cNvSpPr txBox="1">
          <a:spLocks noChangeArrowheads="1"/>
        </xdr:cNvSpPr>
      </xdr:nvSpPr>
      <xdr:spPr bwMode="auto">
        <a:xfrm>
          <a:off x="933450" y="1047750"/>
          <a:ext cx="4838700" cy="334327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Mit dem "</a:t>
          </a:r>
          <a:r>
            <a:rPr lang="de-D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Lohnsteuer-Rechner 2023</a:t>
          </a: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" können Sie ausgehend vom Bruttolohn die Lohnsteuer und Abzüge für die Sozialversicherungen berechnen.</a:t>
          </a:r>
        </a:p>
      </xdr:txBody>
    </xdr:sp>
    <xdr:clientData/>
  </xdr:twoCellAnchor>
  <xdr:twoCellAnchor>
    <xdr:from>
      <xdr:col>2</xdr:col>
      <xdr:colOff>47625</xdr:colOff>
      <xdr:row>9</xdr:row>
      <xdr:rowOff>116205</xdr:rowOff>
    </xdr:from>
    <xdr:to>
      <xdr:col>4</xdr:col>
      <xdr:colOff>0</xdr:colOff>
      <xdr:row>11</xdr:row>
      <xdr:rowOff>807720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00000000-0008-0000-0500-000085080000}"/>
            </a:ext>
          </a:extLst>
        </xdr:cNvPr>
        <xdr:cNvSpPr txBox="1">
          <a:spLocks noChangeArrowheads="1"/>
        </xdr:cNvSpPr>
      </xdr:nvSpPr>
      <xdr:spPr bwMode="auto">
        <a:xfrm>
          <a:off x="939165" y="4939665"/>
          <a:ext cx="4973955" cy="164401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mit dem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Lohnsteuer-Rechner 2023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Lohnsteuer, die Sozialversicherungsbeträge und die Netto-Auszahlung zu berechnen sind lediglich einige Angaben im Arbeitsblatt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Eingaben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erforderlich.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Eingaben sind weitgehend selbsterklärend. Bei einem Klick auf die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links neben den Eingabefeldern, bekommen Sie ergänzende Hinweise.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Angaben in diesem Rechner beziehen sich auf die Berechnung der Lohnsteuer und Sozialversicherungsbeträge des Jahres 2023.</a:t>
          </a:r>
        </a:p>
      </xdr:txBody>
    </xdr:sp>
    <xdr:clientData/>
  </xdr:twoCellAnchor>
  <xdr:twoCellAnchor>
    <xdr:from>
      <xdr:col>3</xdr:col>
      <xdr:colOff>0</xdr:colOff>
      <xdr:row>5</xdr:row>
      <xdr:rowOff>504825</xdr:rowOff>
    </xdr:from>
    <xdr:to>
      <xdr:col>3</xdr:col>
      <xdr:colOff>4591050</xdr:colOff>
      <xdr:row>6</xdr:row>
      <xdr:rowOff>19050</xdr:rowOff>
    </xdr:to>
    <xdr:grpSp>
      <xdr:nvGrpSpPr>
        <xdr:cNvPr id="2639" name="Group 3">
          <a:extLst>
            <a:ext uri="{FF2B5EF4-FFF2-40B4-BE49-F238E27FC236}">
              <a16:creationId xmlns:a16="http://schemas.microsoft.com/office/drawing/2014/main" id="{00000000-0008-0000-0500-00004F0A0000}"/>
            </a:ext>
          </a:extLst>
        </xdr:cNvPr>
        <xdr:cNvGrpSpPr>
          <a:grpSpLocks/>
        </xdr:cNvGrpSpPr>
      </xdr:nvGrpSpPr>
      <xdr:grpSpPr bwMode="auto">
        <a:xfrm>
          <a:off x="971550" y="1485900"/>
          <a:ext cx="4591050" cy="2828925"/>
          <a:chOff x="80" y="514"/>
          <a:chExt cx="483" cy="307"/>
        </a:xfrm>
      </xdr:grpSpPr>
      <xdr:sp macro="" textlink="">
        <xdr:nvSpPr>
          <xdr:cNvPr id="2185" name="Text Box 6">
            <a:extLst>
              <a:ext uri="{FF2B5EF4-FFF2-40B4-BE49-F238E27FC236}">
                <a16:creationId xmlns:a16="http://schemas.microsoft.com/office/drawing/2014/main" id="{00000000-0008-0000-0500-000089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14"/>
            <a:ext cx="483" cy="299"/>
          </a:xfrm>
          <a:prstGeom prst="rect">
            <a:avLst/>
          </a:prstGeom>
          <a:solidFill>
            <a:srgbClr val="E6F1F7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Damit diese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Anwendung funktioniert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müssen die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Makro-Einstellungen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 "niedrig" eingestellt sein.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2003: 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 Einstellung können Sie im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Menü: Extras / Makro / Sicherheit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vornehmen.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2007: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Sicherheitswarnung: "Makros wurden deaktiviert" - Optionen anklicken und mit "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diesen Inhalt aktivieren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 bestätigen (siehe Bild).</a:t>
            </a:r>
          </a:p>
        </xdr:txBody>
      </xdr:sp>
      <xdr:pic>
        <xdr:nvPicPr>
          <xdr:cNvPr id="2643" name="Grafik 6" descr="startseite_fertig.jpg">
            <a:extLst>
              <a:ext uri="{FF2B5EF4-FFF2-40B4-BE49-F238E27FC236}">
                <a16:creationId xmlns:a16="http://schemas.microsoft.com/office/drawing/2014/main" id="{00000000-0008-0000-0500-0000530A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" y="708"/>
            <a:ext cx="413" cy="113"/>
          </a:xfrm>
          <a:prstGeom prst="rect">
            <a:avLst/>
          </a:prstGeom>
          <a:solidFill>
            <a:srgbClr val="E6F1F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2219325</xdr:colOff>
      <xdr:row>14</xdr:row>
      <xdr:rowOff>133350</xdr:rowOff>
    </xdr:from>
    <xdr:to>
      <xdr:col>3</xdr:col>
      <xdr:colOff>3533775</xdr:colOff>
      <xdr:row>16</xdr:row>
      <xdr:rowOff>47625</xdr:rowOff>
    </xdr:to>
    <xdr:pic macro="[0]!DieseArbeitsmappe.AnspringenEingaben">
      <xdr:nvPicPr>
        <xdr:cNvPr id="2640" name="Picture 39">
          <a:extLst>
            <a:ext uri="{FF2B5EF4-FFF2-40B4-BE49-F238E27FC236}">
              <a16:creationId xmlns:a16="http://schemas.microsoft.com/office/drawing/2014/main" id="{00000000-0008-0000-0500-00005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67341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3676650</xdr:colOff>
      <xdr:row>14</xdr:row>
      <xdr:rowOff>133350</xdr:rowOff>
    </xdr:from>
    <xdr:to>
      <xdr:col>5</xdr:col>
      <xdr:colOff>104775</xdr:colOff>
      <xdr:row>16</xdr:row>
      <xdr:rowOff>47625</xdr:rowOff>
    </xdr:to>
    <xdr:pic macro="[0]!DieseArbeitsmappe.AnspringenBerechnung">
      <xdr:nvPicPr>
        <xdr:cNvPr id="2641" name="Picture 41">
          <a:extLst>
            <a:ext uri="{FF2B5EF4-FFF2-40B4-BE49-F238E27FC236}">
              <a16:creationId xmlns:a16="http://schemas.microsoft.com/office/drawing/2014/main" id="{00000000-0008-0000-0500-00005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67341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39</xdr:row>
      <xdr:rowOff>114300</xdr:rowOff>
    </xdr:from>
    <xdr:to>
      <xdr:col>9</xdr:col>
      <xdr:colOff>114300</xdr:colOff>
      <xdr:row>41</xdr:row>
      <xdr:rowOff>26670</xdr:rowOff>
    </xdr:to>
    <xdr:pic macro="[0]!DieseArbeitsmappe.AnspringenEingaben">
      <xdr:nvPicPr>
        <xdr:cNvPr id="2" name="Picture 3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6257925"/>
          <a:ext cx="130492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syncstick/10%20-%20beitr&#228;ge/__vnr%20-%20rechner%20aktualisieren/055%20-%20lst/z_Backups/Berechnungen%20und%20Kontro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Berechnung (2)"/>
    </sheetNames>
    <sheetDataSet>
      <sheetData sheetId="0"/>
      <sheetData sheetId="1">
        <row r="1">
          <cell r="B1">
            <v>2020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Berechnung (2)"/>
    </sheetNames>
    <sheetDataSet>
      <sheetData sheetId="0"/>
      <sheetData sheetId="1">
        <row r="1">
          <cell r="B1">
            <v>2020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2">
    <pageSetUpPr autoPageBreaks="0"/>
  </sheetPr>
  <dimension ref="B1:N41"/>
  <sheetViews>
    <sheetView showGridLines="0" showZeros="0" tabSelected="1" topLeftCell="A4" zoomScaleNormal="100" workbookViewId="0">
      <selection activeCell="B5" sqref="B5"/>
    </sheetView>
  </sheetViews>
  <sheetFormatPr baseColWidth="10" defaultColWidth="11.42578125" defaultRowHeight="12.75" x14ac:dyDescent="0.2"/>
  <cols>
    <col min="1" max="1" width="11.42578125" style="3" customWidth="1"/>
    <col min="2" max="3" width="1.5703125" style="3" customWidth="1"/>
    <col min="4" max="4" width="23.140625" style="3" customWidth="1"/>
    <col min="5" max="5" width="11.85546875" style="3" customWidth="1"/>
    <col min="6" max="7" width="2.5703125" style="3" customWidth="1"/>
    <col min="8" max="8" width="21.7109375" style="3" customWidth="1"/>
    <col min="9" max="9" width="1.85546875" style="3" customWidth="1"/>
    <col min="10" max="10" width="2.140625" style="3" customWidth="1"/>
    <col min="11" max="12" width="11.42578125" style="3" customWidth="1"/>
    <col min="13" max="14" width="11.42578125" style="3" hidden="1" customWidth="1"/>
    <col min="15" max="16384" width="11.42578125" style="3"/>
  </cols>
  <sheetData>
    <row r="1" spans="2:14" hidden="1" x14ac:dyDescent="0.2"/>
    <row r="2" spans="2:14" hidden="1" x14ac:dyDescent="0.2"/>
    <row r="3" spans="2:14" ht="50.25" hidden="1" customHeight="1" x14ac:dyDescent="0.2"/>
    <row r="4" spans="2:14" ht="13.5" thickBot="1" x14ac:dyDescent="0.25">
      <c r="J4" s="13" t="s">
        <v>1</v>
      </c>
    </row>
    <row r="5" spans="2:14" ht="24.75" customHeight="1" x14ac:dyDescent="0.2">
      <c r="B5" s="14" t="s">
        <v>210</v>
      </c>
      <c r="C5" s="15"/>
      <c r="D5" s="15"/>
      <c r="E5" s="15"/>
      <c r="F5" s="15"/>
      <c r="G5" s="15"/>
      <c r="H5" s="15"/>
      <c r="I5" s="15"/>
      <c r="J5" s="16"/>
    </row>
    <row r="6" spans="2:14" x14ac:dyDescent="0.2">
      <c r="B6" s="4"/>
      <c r="J6" s="5"/>
    </row>
    <row r="7" spans="2:14" ht="59.25" customHeight="1" x14ac:dyDescent="0.2">
      <c r="B7" s="4"/>
      <c r="J7" s="5"/>
    </row>
    <row r="8" spans="2:14" ht="13.5" thickBot="1" x14ac:dyDescent="0.25">
      <c r="B8" s="4"/>
      <c r="J8" s="5"/>
    </row>
    <row r="9" spans="2:14" ht="17.25" customHeight="1" thickBot="1" x14ac:dyDescent="0.25">
      <c r="B9" s="4"/>
      <c r="C9" s="17"/>
      <c r="D9" s="18" t="s">
        <v>2</v>
      </c>
      <c r="E9" s="19"/>
      <c r="F9" s="19"/>
      <c r="G9" s="19"/>
      <c r="H9" s="19"/>
      <c r="I9" s="20"/>
      <c r="J9" s="5"/>
      <c r="M9" s="21" t="s">
        <v>3</v>
      </c>
      <c r="N9" s="22">
        <v>1</v>
      </c>
    </row>
    <row r="10" spans="2:14" ht="12.75" customHeight="1" thickBot="1" x14ac:dyDescent="0.25">
      <c r="B10" s="4"/>
      <c r="C10" s="4"/>
      <c r="G10" s="10" t="s">
        <v>4</v>
      </c>
      <c r="H10" s="23"/>
      <c r="I10" s="5"/>
      <c r="J10" s="5"/>
    </row>
    <row r="11" spans="2:14" ht="13.5" customHeight="1" thickBot="1" x14ac:dyDescent="0.25">
      <c r="B11" s="4"/>
      <c r="C11" s="4"/>
      <c r="G11" s="449" t="str">
        <f>INDEX(Parameter_Intern!C5:D8,Startseite!N9,2)</f>
        <v>Hier machen Sie die Angaben zur Berechnung der LSt, der Sozialversicherungsbeiträge und zur Netto-Auszahlung.</v>
      </c>
      <c r="H11" s="449"/>
      <c r="I11" s="5"/>
      <c r="J11" s="5"/>
      <c r="M11" s="11">
        <f>+N9/2</f>
        <v>0.5</v>
      </c>
      <c r="N11" s="22">
        <f>+ROUND(N9/2,0)</f>
        <v>1</v>
      </c>
    </row>
    <row r="12" spans="2:14" ht="13.5" thickBot="1" x14ac:dyDescent="0.25">
      <c r="B12" s="4"/>
      <c r="C12" s="4"/>
      <c r="G12" s="449"/>
      <c r="H12" s="449"/>
      <c r="I12" s="5"/>
      <c r="J12" s="5"/>
      <c r="M12" s="447">
        <f>IF(M11=N11,1,2)</f>
        <v>2</v>
      </c>
      <c r="N12" s="448"/>
    </row>
    <row r="13" spans="2:14" x14ac:dyDescent="0.2">
      <c r="B13" s="4"/>
      <c r="C13" s="4"/>
      <c r="G13" s="449"/>
      <c r="H13" s="449"/>
      <c r="I13" s="5"/>
      <c r="J13" s="5"/>
    </row>
    <row r="14" spans="2:14" x14ac:dyDescent="0.2">
      <c r="B14" s="4"/>
      <c r="C14" s="4"/>
      <c r="G14" s="449"/>
      <c r="H14" s="449"/>
      <c r="I14" s="5"/>
      <c r="J14" s="5"/>
    </row>
    <row r="15" spans="2:14" x14ac:dyDescent="0.2">
      <c r="B15" s="4"/>
      <c r="C15" s="4"/>
      <c r="G15" s="449"/>
      <c r="H15" s="449"/>
      <c r="I15" s="5"/>
      <c r="J15" s="5"/>
    </row>
    <row r="16" spans="2:14" x14ac:dyDescent="0.2">
      <c r="B16" s="4"/>
      <c r="C16" s="4"/>
      <c r="I16" s="5"/>
      <c r="J16" s="5"/>
    </row>
    <row r="17" spans="2:12" ht="38.25" customHeight="1" x14ac:dyDescent="0.2">
      <c r="B17" s="4"/>
      <c r="C17" s="4"/>
      <c r="D17" s="445" t="str">
        <f>"Bei einem Klick auf "&amp;H17&amp;" kommen Sie direkt zum entsprechenden Arbeitsblatt"</f>
        <v>Bei einem Klick auf Eingaben kommen Sie direkt zum entsprechenden Arbeitsblatt</v>
      </c>
      <c r="E17" s="446"/>
      <c r="F17" s="24"/>
      <c r="G17" s="25"/>
      <c r="H17" s="26" t="str">
        <f>+HYPERLINK(VLOOKUP($N$9,Parameter_Intern!$B$5:$E$30,4,FALSE),VLOOKUP($N$9,Parameter_Intern!$B$5:$E$30,2,FALSE))</f>
        <v>Eingaben</v>
      </c>
      <c r="I17" s="27"/>
      <c r="J17" s="5"/>
      <c r="L17" s="10"/>
    </row>
    <row r="18" spans="2:12" ht="13.5" thickBot="1" x14ac:dyDescent="0.25">
      <c r="B18" s="4"/>
      <c r="C18" s="6"/>
      <c r="D18" s="7"/>
      <c r="E18" s="7"/>
      <c r="F18" s="7"/>
      <c r="G18" s="7"/>
      <c r="H18" s="7"/>
      <c r="I18" s="8"/>
      <c r="J18" s="5"/>
    </row>
    <row r="19" spans="2:12" ht="13.5" thickBot="1" x14ac:dyDescent="0.25">
      <c r="B19" s="6"/>
      <c r="C19" s="7"/>
      <c r="D19" s="28"/>
      <c r="E19" s="7"/>
      <c r="F19" s="7"/>
      <c r="G19" s="7"/>
      <c r="H19" s="7"/>
      <c r="I19" s="7"/>
      <c r="J19" s="8"/>
    </row>
    <row r="21" spans="2:12" x14ac:dyDescent="0.2">
      <c r="C21" s="9"/>
    </row>
    <row r="22" spans="2:12" x14ac:dyDescent="0.2">
      <c r="C22" s="9"/>
    </row>
    <row r="25" spans="2:12" ht="12.75" customHeight="1" x14ac:dyDescent="0.2"/>
    <row r="39" spans="2:2" x14ac:dyDescent="0.2">
      <c r="B39" s="9" t="s">
        <v>211</v>
      </c>
    </row>
    <row r="40" spans="2:2" x14ac:dyDescent="0.2">
      <c r="B40" s="9" t="s">
        <v>5</v>
      </c>
    </row>
    <row r="41" spans="2:2" x14ac:dyDescent="0.2">
      <c r="B41" s="9" t="s">
        <v>6</v>
      </c>
    </row>
  </sheetData>
  <sheetProtection sheet="1" objects="1" scenarios="1"/>
  <mergeCells count="3">
    <mergeCell ref="D17:E17"/>
    <mergeCell ref="M12:N12"/>
    <mergeCell ref="G11:H15"/>
  </mergeCells>
  <phoneticPr fontId="25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1" r:id="rId4" name="List Box 7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38100</xdr:rowOff>
                  </from>
                  <to>
                    <xdr:col>5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/>
  <dimension ref="B2:L22"/>
  <sheetViews>
    <sheetView showGridLines="0" workbookViewId="0">
      <selection activeCell="G19" sqref="G19"/>
    </sheetView>
  </sheetViews>
  <sheetFormatPr baseColWidth="10" defaultRowHeight="12.75" x14ac:dyDescent="0.2"/>
  <cols>
    <col min="2" max="2" width="19.7109375" bestFit="1" customWidth="1"/>
    <col min="4" max="4" width="1.7109375" customWidth="1"/>
    <col min="10" max="12" width="2" bestFit="1" customWidth="1"/>
  </cols>
  <sheetData>
    <row r="2" spans="2:12" ht="13.5" thickBot="1" x14ac:dyDescent="0.25"/>
    <row r="3" spans="2:12" x14ac:dyDescent="0.2">
      <c r="B3" s="139" t="s">
        <v>181</v>
      </c>
      <c r="C3" s="140">
        <v>1000</v>
      </c>
      <c r="J3" s="141">
        <f>+IF(ISNUMBER(C3),1,0)</f>
        <v>1</v>
      </c>
    </row>
    <row r="4" spans="2:12" x14ac:dyDescent="0.2">
      <c r="B4" s="142" t="s">
        <v>182</v>
      </c>
      <c r="C4" s="143">
        <v>0.69220000000000004</v>
      </c>
      <c r="J4" s="141">
        <f>+IF(ISNUMBER(C4),1,0)</f>
        <v>1</v>
      </c>
    </row>
    <row r="5" spans="2:12" ht="13.5" thickBot="1" x14ac:dyDescent="0.25">
      <c r="B5" s="142" t="s">
        <v>208</v>
      </c>
      <c r="C5" s="410">
        <f>IF(C3&gt;450,ROUND(C4*520+((2000/(2000-520))-(520/(2000-520))*C4)*(C3-520),2))</f>
        <v>891.85</v>
      </c>
      <c r="J5" s="141">
        <f>+IF(ISNUMBER(C5),1,0)</f>
        <v>1</v>
      </c>
    </row>
    <row r="6" spans="2:12" ht="13.5" thickBot="1" x14ac:dyDescent="0.25">
      <c r="B6" s="144" t="s">
        <v>183</v>
      </c>
      <c r="C6" s="145" t="s">
        <v>98</v>
      </c>
      <c r="E6" s="146">
        <f>ROUND($C$3*$C13/2,2)</f>
        <v>93</v>
      </c>
      <c r="F6" s="147">
        <f>ROUND($C$5*$C13,2)-ROUND($C$3*$C13/2,2)</f>
        <v>72.88</v>
      </c>
      <c r="J6" s="141">
        <f>+IF(C6="",0,1)</f>
        <v>1</v>
      </c>
    </row>
    <row r="7" spans="2:12" ht="13.5" thickBot="1" x14ac:dyDescent="0.25">
      <c r="J7" s="141"/>
    </row>
    <row r="8" spans="2:12" x14ac:dyDescent="0.2">
      <c r="B8" s="148" t="s">
        <v>184</v>
      </c>
      <c r="C8" s="149" t="s">
        <v>185</v>
      </c>
      <c r="D8" s="150"/>
      <c r="E8" s="151" t="s">
        <v>186</v>
      </c>
      <c r="F8" s="152" t="s">
        <v>187</v>
      </c>
      <c r="G8" s="149" t="s">
        <v>188</v>
      </c>
      <c r="J8" s="141"/>
    </row>
    <row r="9" spans="2:12" x14ac:dyDescent="0.2">
      <c r="B9" s="153" t="s">
        <v>64</v>
      </c>
      <c r="C9" s="154">
        <v>0.14599999999999999</v>
      </c>
      <c r="E9" s="155">
        <f>IF($L$15=1,ROUND($C$5*$C9,2),"")</f>
        <v>130.21</v>
      </c>
      <c r="F9" s="156">
        <f>IF($L$15=1,ROUND($C$3*$C9/2,2),"")</f>
        <v>73</v>
      </c>
      <c r="G9" s="157">
        <f>IF($L$15=1,E9-F9,"")</f>
        <v>57.210000000000008</v>
      </c>
      <c r="J9" s="141"/>
    </row>
    <row r="10" spans="2:12" x14ac:dyDescent="0.2">
      <c r="B10" s="153" t="s">
        <v>189</v>
      </c>
      <c r="C10" s="154">
        <v>8.0000000000000002E-3</v>
      </c>
      <c r="E10" s="155">
        <f>IF($L$15=1,ROUND($C$5*$C10,2),"")</f>
        <v>7.13</v>
      </c>
      <c r="F10" s="156">
        <f>IF($L$15=1,ROUND($C$3*$C10/2,2),"")</f>
        <v>4</v>
      </c>
      <c r="G10" s="157">
        <f>IF($L$15=1,E10-F10,"")</f>
        <v>3.13</v>
      </c>
      <c r="J10" s="141"/>
    </row>
    <row r="11" spans="2:12" x14ac:dyDescent="0.2">
      <c r="B11" s="153" t="s">
        <v>190</v>
      </c>
      <c r="C11" s="154">
        <v>3.0499999999999999E-2</v>
      </c>
      <c r="E11" s="155">
        <f>IF($L$15=1,ROUND($C$5*$C11,2),"")</f>
        <v>27.2</v>
      </c>
      <c r="F11" s="156">
        <f>IF($L$15=1,ROUND($C$3*$C11/2,2),"")</f>
        <v>15.25</v>
      </c>
      <c r="G11" s="157">
        <f>IF($L$15=1,E11-F11,"")</f>
        <v>11.95</v>
      </c>
      <c r="J11" s="141"/>
    </row>
    <row r="12" spans="2:12" x14ac:dyDescent="0.2">
      <c r="B12" s="153" t="s">
        <v>191</v>
      </c>
      <c r="C12" s="158">
        <f>+IF(Berechnung!H19="Ja",LSTBerechnung2020!F9,0)</f>
        <v>0</v>
      </c>
      <c r="E12" s="155">
        <f>IF($L$15=1,ROUND($C$5*$C12,2),"")</f>
        <v>0</v>
      </c>
      <c r="F12" s="156"/>
      <c r="G12" s="157">
        <f>IF($L$15=1,E12-F12,"")</f>
        <v>0</v>
      </c>
      <c r="J12" s="141"/>
    </row>
    <row r="13" spans="2:12" x14ac:dyDescent="0.2">
      <c r="B13" s="153" t="s">
        <v>192</v>
      </c>
      <c r="C13" s="154">
        <v>0.186</v>
      </c>
      <c r="E13" s="155">
        <f>IF($L$15=1,SUM(F13:G13),"")</f>
        <v>165.88</v>
      </c>
      <c r="F13" s="156">
        <f>IF($L$15=1,ROUND($C$3*$C13/2,2),"")</f>
        <v>93</v>
      </c>
      <c r="G13" s="157">
        <f>IF($L$15=1,IF(C6="Ja",E6,F6),"")</f>
        <v>72.88</v>
      </c>
      <c r="J13" s="141"/>
    </row>
    <row r="14" spans="2:12" ht="13.5" thickBot="1" x14ac:dyDescent="0.25">
      <c r="B14" s="159" t="s">
        <v>193</v>
      </c>
      <c r="C14" s="160">
        <v>2.5999999999999999E-2</v>
      </c>
      <c r="E14" s="161">
        <f>IF($L$15=1,ROUND($C$5*$C14,2),"")</f>
        <v>23.19</v>
      </c>
      <c r="F14" s="162">
        <f>IF($L$15=1,ROUND($C$3*$C14/2,2),"")</f>
        <v>13</v>
      </c>
      <c r="G14" s="163">
        <f>IF($L$15=1,E14-F14,"")</f>
        <v>10.190000000000001</v>
      </c>
      <c r="J14" s="141"/>
    </row>
    <row r="15" spans="2:12" ht="13.5" thickBot="1" x14ac:dyDescent="0.25">
      <c r="B15" s="164" t="s">
        <v>186</v>
      </c>
      <c r="C15" s="165"/>
      <c r="D15" s="150"/>
      <c r="E15" s="166">
        <f>IF($L$15=1,SUM(E9:E14),"")</f>
        <v>353.60999999999996</v>
      </c>
      <c r="F15" s="167">
        <f>IF($L$15=1,SUM(F9:F14),"")</f>
        <v>198.25</v>
      </c>
      <c r="G15" s="168">
        <f>IF($L$15=1,SUM(G9:G14),"")</f>
        <v>155.36000000000001</v>
      </c>
      <c r="J15" s="141">
        <f>+SUM(J3:J14)</f>
        <v>4</v>
      </c>
      <c r="K15" s="169">
        <v>4</v>
      </c>
      <c r="L15" s="141">
        <f>+IF(J15=K15,1,0)</f>
        <v>1</v>
      </c>
    </row>
    <row r="16" spans="2:12" x14ac:dyDescent="0.2">
      <c r="C16" s="170"/>
    </row>
    <row r="17" spans="2:5" x14ac:dyDescent="0.2">
      <c r="C17" s="170"/>
    </row>
    <row r="18" spans="2:5" x14ac:dyDescent="0.2">
      <c r="C18" s="170"/>
    </row>
    <row r="19" spans="2:5" x14ac:dyDescent="0.2">
      <c r="C19" s="170"/>
      <c r="E19" s="171"/>
    </row>
    <row r="20" spans="2:5" x14ac:dyDescent="0.2">
      <c r="C20" s="170"/>
    </row>
    <row r="21" spans="2:5" x14ac:dyDescent="0.2">
      <c r="B21" t="s">
        <v>209</v>
      </c>
    </row>
    <row r="22" spans="2:5" x14ac:dyDescent="0.2">
      <c r="B22" t="s">
        <v>194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rgb="FFFF0000"/>
  </sheetPr>
  <dimension ref="A1:M69"/>
  <sheetViews>
    <sheetView topLeftCell="A2" zoomScale="110" zoomScaleNormal="110" workbookViewId="0">
      <selection activeCell="F9" sqref="F9"/>
    </sheetView>
  </sheetViews>
  <sheetFormatPr baseColWidth="10" defaultColWidth="11.42578125" defaultRowHeight="12.75" x14ac:dyDescent="0.2"/>
  <cols>
    <col min="1" max="4" width="11.42578125" style="214"/>
    <col min="5" max="5" width="18.42578125" style="214" bestFit="1" customWidth="1"/>
    <col min="6" max="16384" width="11.42578125" style="214"/>
  </cols>
  <sheetData>
    <row r="1" spans="1:13" ht="27" thickBot="1" x14ac:dyDescent="0.4">
      <c r="A1" s="211" t="s">
        <v>170</v>
      </c>
      <c r="B1" s="212">
        <v>2021</v>
      </c>
      <c r="C1" s="213"/>
      <c r="D1" s="378"/>
      <c r="E1" s="215" t="str">
        <f>"SOZ-VS-BEITRAGSSÄTZE  "&amp;BearbJahr</f>
        <v>SOZ-VS-BEITRAGSSÄTZE  2021</v>
      </c>
      <c r="F1" s="216"/>
      <c r="G1" s="217"/>
      <c r="I1" s="476" t="s">
        <v>22</v>
      </c>
      <c r="J1" s="477"/>
      <c r="K1" s="477"/>
      <c r="L1" s="477"/>
      <c r="M1" s="477"/>
    </row>
    <row r="2" spans="1:13" ht="15.75" thickBot="1" x14ac:dyDescent="0.3">
      <c r="A2" s="218" t="s">
        <v>150</v>
      </c>
      <c r="B2" s="219" t="s">
        <v>31</v>
      </c>
      <c r="C2" s="369">
        <f>IF(Berechnung!P11&gt;4,0,Berechnung!P14)</f>
        <v>0</v>
      </c>
      <c r="D2" s="225"/>
      <c r="E2" s="220" t="s">
        <v>169</v>
      </c>
      <c r="F2" s="221" t="s">
        <v>168</v>
      </c>
      <c r="G2" s="222" t="s">
        <v>167</v>
      </c>
      <c r="I2" s="223" t="s">
        <v>195</v>
      </c>
      <c r="J2" s="223" t="s">
        <v>196</v>
      </c>
      <c r="K2" s="223" t="s">
        <v>197</v>
      </c>
      <c r="L2" s="223" t="s">
        <v>46</v>
      </c>
      <c r="M2" s="223" t="s">
        <v>47</v>
      </c>
    </row>
    <row r="3" spans="1:13" x14ac:dyDescent="0.2">
      <c r="A3" s="224"/>
      <c r="B3" s="225" t="s">
        <v>33</v>
      </c>
      <c r="C3" s="370">
        <f>Berechnung!P9</f>
        <v>1</v>
      </c>
      <c r="D3" s="225"/>
      <c r="E3" s="227" t="s">
        <v>166</v>
      </c>
      <c r="F3" s="228">
        <v>0.14599999999999999</v>
      </c>
      <c r="G3" s="124">
        <f>F3/2+F4</f>
        <v>8.5999999999999993E-2</v>
      </c>
      <c r="I3" s="229"/>
      <c r="J3" s="229"/>
      <c r="K3" s="229">
        <v>0</v>
      </c>
      <c r="L3" s="229">
        <v>0</v>
      </c>
      <c r="M3" s="229">
        <v>0</v>
      </c>
    </row>
    <row r="4" spans="1:13" x14ac:dyDescent="0.2">
      <c r="A4" s="224"/>
      <c r="B4" s="225" t="s">
        <v>34</v>
      </c>
      <c r="C4" s="370">
        <f>Berechnung!P13</f>
        <v>0</v>
      </c>
      <c r="D4" s="225"/>
      <c r="E4" s="230" t="s">
        <v>164</v>
      </c>
      <c r="F4" s="231">
        <v>1.2999999999999999E-2</v>
      </c>
      <c r="G4" s="124">
        <f>F4/2+0.07</f>
        <v>7.6500000000000012E-2</v>
      </c>
      <c r="I4" s="232" t="s">
        <v>198</v>
      </c>
      <c r="J4" s="232" t="s">
        <v>199</v>
      </c>
      <c r="K4" s="229">
        <v>1</v>
      </c>
      <c r="L4" s="229">
        <v>0.4</v>
      </c>
      <c r="M4" s="229">
        <v>1900</v>
      </c>
    </row>
    <row r="5" spans="1:13" x14ac:dyDescent="0.2">
      <c r="A5" s="224"/>
      <c r="B5" s="225" t="s">
        <v>35</v>
      </c>
      <c r="C5" s="371" t="e">
        <f>ROUNDDOWN(IF(C3=1,Berechnung!H8*100,IF(C3=2,(Berechnung!H8*100)*12,IF(C3=3,((Berechnung!H8*100)*360)/7,(Berechnung!H8*100)*360))),2)</f>
        <v>#VALUE!</v>
      </c>
      <c r="D5" s="379"/>
      <c r="E5" s="227" t="s">
        <v>163</v>
      </c>
      <c r="F5" s="233">
        <v>0.186</v>
      </c>
      <c r="G5" s="124">
        <f>F5/2</f>
        <v>9.2999999999999999E-2</v>
      </c>
      <c r="I5" s="229">
        <v>1941</v>
      </c>
      <c r="J5" s="229">
        <v>2006</v>
      </c>
      <c r="K5" s="229">
        <v>2</v>
      </c>
      <c r="L5" s="229">
        <v>0.38400000000000001</v>
      </c>
      <c r="M5" s="229">
        <v>1824</v>
      </c>
    </row>
    <row r="6" spans="1:13" x14ac:dyDescent="0.2">
      <c r="A6" s="224"/>
      <c r="B6" s="225" t="s">
        <v>36</v>
      </c>
      <c r="C6" s="372">
        <f>+Berechnung!P11</f>
        <v>1</v>
      </c>
      <c r="D6" s="380"/>
      <c r="E6" s="230" t="s">
        <v>162</v>
      </c>
      <c r="F6" s="231">
        <v>2.4E-2</v>
      </c>
      <c r="G6" s="124">
        <f>F6/2</f>
        <v>1.2E-2</v>
      </c>
      <c r="I6" s="229">
        <v>1942</v>
      </c>
      <c r="J6" s="229">
        <v>2007</v>
      </c>
      <c r="K6" s="229">
        <v>3</v>
      </c>
      <c r="L6" s="229">
        <v>0.36799999999999999</v>
      </c>
      <c r="M6" s="229">
        <v>1748</v>
      </c>
    </row>
    <row r="7" spans="1:13" x14ac:dyDescent="0.2">
      <c r="A7" s="224"/>
      <c r="B7" s="225" t="s">
        <v>39</v>
      </c>
      <c r="C7" s="373">
        <f>IF(C6=6,0,Berechnung!P23*100)</f>
        <v>0</v>
      </c>
      <c r="D7" s="381"/>
      <c r="E7" s="230" t="s">
        <v>161</v>
      </c>
      <c r="F7" s="231">
        <v>3.0499999999999999E-2</v>
      </c>
      <c r="G7" s="367">
        <f>IF(AND(Eingaben!P15=1,Eingaben!P17),F8+F9,IF(Eingaben!P15=1,F8,IF(AND(Eingaben!P10=0,Eingaben!P15=1),F7/2+F9,F7/2)))</f>
        <v>1.525E-2</v>
      </c>
      <c r="H7" s="214" t="s">
        <v>160</v>
      </c>
      <c r="I7" s="229">
        <v>1943</v>
      </c>
      <c r="J7" s="229">
        <v>2008</v>
      </c>
      <c r="K7" s="229">
        <v>4</v>
      </c>
      <c r="L7" s="229">
        <v>0.35199999999999998</v>
      </c>
      <c r="M7" s="229">
        <v>1672</v>
      </c>
    </row>
    <row r="8" spans="1:13" x14ac:dyDescent="0.2">
      <c r="A8" s="224"/>
      <c r="B8" s="225" t="s">
        <v>37</v>
      </c>
      <c r="C8" s="374">
        <f>Berechnung!P24*100</f>
        <v>0</v>
      </c>
      <c r="D8" s="382"/>
      <c r="E8" s="230" t="s">
        <v>159</v>
      </c>
      <c r="F8" s="228">
        <v>2.0250000000000001E-2</v>
      </c>
      <c r="G8" s="234"/>
      <c r="I8" s="229">
        <v>1944</v>
      </c>
      <c r="J8" s="229">
        <v>2009</v>
      </c>
      <c r="K8" s="229">
        <v>5</v>
      </c>
      <c r="L8" s="229">
        <v>0.33600000000000002</v>
      </c>
      <c r="M8" s="229">
        <v>1596</v>
      </c>
    </row>
    <row r="9" spans="1:13" x14ac:dyDescent="0.2">
      <c r="A9" s="224"/>
      <c r="B9" s="225" t="s">
        <v>135</v>
      </c>
      <c r="C9" s="375">
        <f>IF(Berechnung!P20=0,F15,F16)</f>
        <v>85200</v>
      </c>
      <c r="D9" s="383"/>
      <c r="E9" s="230" t="s">
        <v>159</v>
      </c>
      <c r="F9" s="228">
        <v>2.5000000000000001E-3</v>
      </c>
      <c r="G9" s="235"/>
      <c r="I9" s="229">
        <v>1945</v>
      </c>
      <c r="J9" s="229">
        <v>2010</v>
      </c>
      <c r="K9" s="229">
        <v>6</v>
      </c>
      <c r="L9" s="229">
        <v>0.32</v>
      </c>
      <c r="M9" s="229">
        <v>1520</v>
      </c>
    </row>
    <row r="10" spans="1:13" x14ac:dyDescent="0.2">
      <c r="A10" s="224"/>
      <c r="B10" s="225" t="s">
        <v>42</v>
      </c>
      <c r="C10" s="375">
        <f>IF(Eingaben!H12&gt;20,MAX($C$31,ROUNDDOWN(Eingaben!H12*12,2)-IF(Eingaben!P14=1,IF(Eingaben!P16=1,SUM(F11,F7,-F8),SUM(F11,F7/2))*MIN(C5/100,F17),0)),0)</f>
        <v>0</v>
      </c>
      <c r="D10" s="383"/>
      <c r="E10" s="230" t="s">
        <v>200</v>
      </c>
      <c r="F10" s="228">
        <v>1.2999999999999999E-2</v>
      </c>
      <c r="G10" s="235"/>
      <c r="I10" s="229">
        <v>1946</v>
      </c>
      <c r="J10" s="229">
        <v>2011</v>
      </c>
      <c r="K10" s="229">
        <v>7</v>
      </c>
      <c r="L10" s="229">
        <v>0.30399999999999999</v>
      </c>
      <c r="M10" s="229">
        <v>1444</v>
      </c>
    </row>
    <row r="11" spans="1:13" x14ac:dyDescent="0.2">
      <c r="A11" s="236"/>
      <c r="B11" s="225" t="s">
        <v>43</v>
      </c>
      <c r="C11" s="376">
        <f>IF(AND(Berechnung!P19=1,Berechnung!P21=1),F8+F9,IF(Berechnung!P21=1,F8,IF(AND(Berechnung!P14=0,Berechnung!P19=1),F7/2+F9,F7/2)))</f>
        <v>1.525E-2</v>
      </c>
      <c r="D11" s="384"/>
      <c r="E11" s="237" t="s">
        <v>156</v>
      </c>
      <c r="F11" s="238">
        <v>7.6499999999999999E-2</v>
      </c>
      <c r="G11" s="234">
        <f>F3/2+F7-G7+F10/2</f>
        <v>9.4750000000000001E-2</v>
      </c>
      <c r="H11" s="214" t="s">
        <v>155</v>
      </c>
      <c r="I11" s="229">
        <v>1947</v>
      </c>
      <c r="J11" s="229">
        <v>2012</v>
      </c>
      <c r="K11" s="229">
        <v>8</v>
      </c>
      <c r="L11" s="229">
        <v>0.28799999999999998</v>
      </c>
      <c r="M11" s="229">
        <v>1368</v>
      </c>
    </row>
    <row r="12" spans="1:13" x14ac:dyDescent="0.2">
      <c r="A12" s="224"/>
      <c r="B12" s="225" t="s">
        <v>44</v>
      </c>
      <c r="C12" s="377">
        <f>IF(OR(OR(Berechnung!P12=0,Berechnung!P12&gt;1),Berechnung!P11&lt;&gt;4),1,Berechnung!P12)</f>
        <v>1</v>
      </c>
      <c r="D12" s="385"/>
      <c r="I12" s="229">
        <v>1948</v>
      </c>
      <c r="J12" s="229">
        <v>2013</v>
      </c>
      <c r="K12" s="229">
        <v>9</v>
      </c>
      <c r="L12" s="229">
        <v>0.27200000000000002</v>
      </c>
      <c r="M12" s="229">
        <v>1292</v>
      </c>
    </row>
    <row r="13" spans="1:13" s="225" customFormat="1" ht="16.5" x14ac:dyDescent="0.25">
      <c r="A13" s="240" t="s">
        <v>45</v>
      </c>
      <c r="B13" s="241" t="s">
        <v>46</v>
      </c>
      <c r="C13" s="370">
        <f>VLOOKUP(Eingaben!T26,K3:L20,2,FALSE)</f>
        <v>0</v>
      </c>
      <c r="E13" s="121" t="s">
        <v>154</v>
      </c>
      <c r="F13" s="120"/>
      <c r="G13" s="119"/>
      <c r="H13" s="214"/>
      <c r="I13" s="229">
        <v>1949</v>
      </c>
      <c r="J13" s="229">
        <v>2014</v>
      </c>
      <c r="K13" s="229">
        <v>10</v>
      </c>
      <c r="L13" s="229">
        <v>0.25600000000000001</v>
      </c>
      <c r="M13" s="229">
        <v>1216</v>
      </c>
    </row>
    <row r="14" spans="1:13" s="225" customFormat="1" ht="15.75" thickBot="1" x14ac:dyDescent="0.3">
      <c r="B14" s="225" t="s">
        <v>47</v>
      </c>
      <c r="C14" s="370">
        <f>VLOOKUP(Eingaben!T26,K3:M20,3,FALSE)*100</f>
        <v>0</v>
      </c>
      <c r="E14" s="243" t="s">
        <v>153</v>
      </c>
      <c r="F14" s="244" t="s">
        <v>152</v>
      </c>
      <c r="G14" s="243" t="s">
        <v>151</v>
      </c>
      <c r="H14" s="214"/>
      <c r="I14" s="229">
        <v>1950</v>
      </c>
      <c r="J14" s="229">
        <v>2015</v>
      </c>
      <c r="K14" s="229">
        <v>11</v>
      </c>
      <c r="L14" s="245">
        <v>0.24</v>
      </c>
      <c r="M14" s="245">
        <v>1140</v>
      </c>
    </row>
    <row r="15" spans="1:13" s="225" customFormat="1" ht="13.5" thickTop="1" x14ac:dyDescent="0.2">
      <c r="B15" s="225" t="s">
        <v>48</v>
      </c>
      <c r="C15" s="226">
        <f>C14</f>
        <v>0</v>
      </c>
      <c r="E15" s="227" t="s">
        <v>135</v>
      </c>
      <c r="F15" s="246">
        <v>85200</v>
      </c>
      <c r="G15" s="247" t="s">
        <v>150</v>
      </c>
      <c r="H15" s="214"/>
      <c r="I15" s="229">
        <v>1951</v>
      </c>
      <c r="J15" s="229">
        <v>2016</v>
      </c>
      <c r="K15" s="229">
        <v>12</v>
      </c>
      <c r="L15" s="245">
        <v>0.224</v>
      </c>
      <c r="M15" s="245">
        <v>1064</v>
      </c>
    </row>
    <row r="16" spans="1:13" s="225" customFormat="1" x14ac:dyDescent="0.2">
      <c r="B16" s="225" t="s">
        <v>49</v>
      </c>
      <c r="C16" s="370">
        <f>IF(Berechnung!P22=0,0,IF((C5*C13)&gt;C15,C15,C5*C13))</f>
        <v>0</v>
      </c>
      <c r="E16" s="227" t="s">
        <v>135</v>
      </c>
      <c r="F16" s="248">
        <v>80400</v>
      </c>
      <c r="G16" s="249"/>
      <c r="H16" s="214"/>
      <c r="I16" s="229">
        <v>1952</v>
      </c>
      <c r="J16" s="229">
        <v>2017</v>
      </c>
      <c r="K16" s="229">
        <v>13</v>
      </c>
      <c r="L16" s="245">
        <v>0.20799999999999999</v>
      </c>
      <c r="M16" s="245">
        <v>988</v>
      </c>
    </row>
    <row r="17" spans="1:13" s="225" customFormat="1" x14ac:dyDescent="0.2">
      <c r="B17" s="225" t="s">
        <v>50</v>
      </c>
      <c r="C17" s="250" t="e">
        <f>C5-C8+C7-C16</f>
        <v>#VALUE!</v>
      </c>
      <c r="D17" s="386"/>
      <c r="E17" s="227" t="s">
        <v>149</v>
      </c>
      <c r="F17" s="246">
        <v>58050</v>
      </c>
      <c r="G17" s="249"/>
      <c r="H17" s="214"/>
      <c r="I17" s="229">
        <v>1953</v>
      </c>
      <c r="J17" s="229">
        <v>2018</v>
      </c>
      <c r="K17" s="229">
        <v>14</v>
      </c>
      <c r="L17" s="245">
        <v>0.192</v>
      </c>
      <c r="M17" s="245">
        <v>912</v>
      </c>
    </row>
    <row r="18" spans="1:13" s="225" customFormat="1" x14ac:dyDescent="0.2">
      <c r="B18" s="225" t="s">
        <v>51</v>
      </c>
      <c r="C18" s="250" t="e">
        <f>C5</f>
        <v>#VALUE!</v>
      </c>
      <c r="D18" s="386"/>
      <c r="E18" s="230" t="s">
        <v>148</v>
      </c>
      <c r="F18" s="251">
        <v>7.6499999999999999E-2</v>
      </c>
      <c r="G18" s="249"/>
      <c r="H18" s="214"/>
      <c r="I18" s="229">
        <v>1954</v>
      </c>
      <c r="J18" s="229">
        <v>2019</v>
      </c>
      <c r="K18" s="229">
        <v>15</v>
      </c>
      <c r="L18" s="245">
        <v>0.17599999999999999</v>
      </c>
      <c r="M18" s="245">
        <v>836</v>
      </c>
    </row>
    <row r="19" spans="1:13" s="225" customFormat="1" x14ac:dyDescent="0.2">
      <c r="C19" s="226"/>
      <c r="E19" s="252" t="s">
        <v>147</v>
      </c>
      <c r="F19" s="253">
        <v>0.84</v>
      </c>
      <c r="G19" s="249"/>
      <c r="H19" s="214"/>
      <c r="I19" s="229">
        <v>1955</v>
      </c>
      <c r="J19" s="229">
        <v>2020</v>
      </c>
      <c r="K19" s="229">
        <v>16</v>
      </c>
      <c r="L19" s="245">
        <v>0.16</v>
      </c>
      <c r="M19" s="245">
        <v>760</v>
      </c>
    </row>
    <row r="20" spans="1:13" s="225" customFormat="1" x14ac:dyDescent="0.2">
      <c r="A20" s="240" t="s">
        <v>52</v>
      </c>
      <c r="B20" s="241" t="s">
        <v>50</v>
      </c>
      <c r="C20" s="242" t="e">
        <f>C17/100</f>
        <v>#VALUE!</v>
      </c>
      <c r="E20" s="254" t="s">
        <v>146</v>
      </c>
      <c r="F20" s="255">
        <v>11237</v>
      </c>
      <c r="G20" s="249"/>
      <c r="H20" s="214"/>
      <c r="I20" s="229">
        <v>1956</v>
      </c>
      <c r="J20" s="229">
        <v>2021</v>
      </c>
      <c r="K20" s="229">
        <v>17</v>
      </c>
      <c r="L20" s="245">
        <v>0.152</v>
      </c>
      <c r="M20" s="245">
        <v>722</v>
      </c>
    </row>
    <row r="21" spans="1:13" s="225" customFormat="1" x14ac:dyDescent="0.2">
      <c r="B21" s="225" t="s">
        <v>51</v>
      </c>
      <c r="C21" s="226" t="e">
        <f>C18/100</f>
        <v>#VALUE!</v>
      </c>
      <c r="E21" s="254" t="s">
        <v>145</v>
      </c>
      <c r="F21" s="255">
        <v>28959</v>
      </c>
      <c r="G21" s="249"/>
      <c r="H21" s="214"/>
      <c r="I21" s="214">
        <v>1957</v>
      </c>
      <c r="J21" s="214">
        <v>2022</v>
      </c>
      <c r="K21" s="214">
        <v>18</v>
      </c>
      <c r="L21" s="225">
        <v>0.14399999999999999</v>
      </c>
      <c r="M21" s="225">
        <v>684</v>
      </c>
    </row>
    <row r="22" spans="1:13" s="225" customFormat="1" x14ac:dyDescent="0.2">
      <c r="C22" s="226"/>
      <c r="E22" s="254" t="s">
        <v>144</v>
      </c>
      <c r="F22" s="255">
        <v>219690</v>
      </c>
      <c r="G22" s="249"/>
      <c r="H22" s="214"/>
      <c r="I22" s="214">
        <v>1958</v>
      </c>
      <c r="J22" s="214">
        <v>2023</v>
      </c>
      <c r="K22" s="214">
        <v>19</v>
      </c>
      <c r="L22" s="225">
        <v>0.13600000000000001</v>
      </c>
      <c r="M22" s="225">
        <v>646</v>
      </c>
    </row>
    <row r="23" spans="1:13" x14ac:dyDescent="0.2">
      <c r="A23" s="256" t="s">
        <v>53</v>
      </c>
      <c r="B23" s="241" t="s">
        <v>54</v>
      </c>
      <c r="C23" s="242">
        <f>IF(C6=3,2,1)</f>
        <v>1</v>
      </c>
      <c r="D23" s="225"/>
      <c r="E23" s="254" t="s">
        <v>143</v>
      </c>
      <c r="F23" s="255">
        <v>9744</v>
      </c>
      <c r="G23" s="249"/>
      <c r="I23" s="214">
        <v>1959</v>
      </c>
      <c r="J23" s="214">
        <v>2024</v>
      </c>
      <c r="K23" s="214">
        <v>20</v>
      </c>
      <c r="L23" s="225">
        <v>0.128</v>
      </c>
      <c r="M23" s="225">
        <v>608</v>
      </c>
    </row>
    <row r="24" spans="1:13" ht="13.5" thickBot="1" x14ac:dyDescent="0.25">
      <c r="A24" s="257"/>
      <c r="B24" s="225" t="s">
        <v>55</v>
      </c>
      <c r="C24" s="250">
        <f>F25</f>
        <v>1000</v>
      </c>
      <c r="D24" s="386"/>
      <c r="E24" s="258" t="s">
        <v>90</v>
      </c>
      <c r="F24" s="259">
        <v>16956</v>
      </c>
      <c r="G24" s="260"/>
      <c r="I24" s="214">
        <v>1960</v>
      </c>
      <c r="J24" s="214">
        <v>2025</v>
      </c>
      <c r="K24" s="214">
        <v>21</v>
      </c>
      <c r="L24" s="214">
        <v>0.12</v>
      </c>
      <c r="M24" s="214">
        <v>570</v>
      </c>
    </row>
    <row r="25" spans="1:13" ht="13.5" thickTop="1" x14ac:dyDescent="0.2">
      <c r="A25" s="257"/>
      <c r="B25" s="225" t="s">
        <v>56</v>
      </c>
      <c r="C25" s="226">
        <f>IF(C6=2,F26,0)</f>
        <v>0</v>
      </c>
      <c r="D25" s="225"/>
      <c r="E25" s="230" t="s">
        <v>55</v>
      </c>
      <c r="F25" s="261">
        <v>1000</v>
      </c>
      <c r="G25" s="262" t="s">
        <v>53</v>
      </c>
      <c r="I25" s="214">
        <v>1961</v>
      </c>
      <c r="J25" s="214">
        <v>2026</v>
      </c>
      <c r="K25" s="214">
        <v>22</v>
      </c>
      <c r="L25" s="214">
        <v>0.112</v>
      </c>
      <c r="M25" s="214">
        <v>532</v>
      </c>
    </row>
    <row r="26" spans="1:13" x14ac:dyDescent="0.2">
      <c r="A26" s="224"/>
      <c r="B26" s="225" t="s">
        <v>57</v>
      </c>
      <c r="C26" s="226">
        <f>IF(C6&gt;5,0,F27)</f>
        <v>36</v>
      </c>
      <c r="D26" s="225"/>
      <c r="E26" s="230" t="s">
        <v>56</v>
      </c>
      <c r="F26" s="248">
        <v>1908</v>
      </c>
      <c r="G26" s="249"/>
      <c r="I26" s="214">
        <v>1962</v>
      </c>
      <c r="J26" s="214">
        <v>2027</v>
      </c>
      <c r="K26" s="214">
        <v>23</v>
      </c>
      <c r="L26" s="214">
        <v>0.104</v>
      </c>
      <c r="M26" s="214">
        <v>494</v>
      </c>
    </row>
    <row r="27" spans="1:13" x14ac:dyDescent="0.2">
      <c r="A27" s="224"/>
      <c r="B27" s="225" t="s">
        <v>58</v>
      </c>
      <c r="C27" s="226">
        <f>IF(C6&lt;4,C2*F28,IF(C6=4,C2*F28/2,0))</f>
        <v>0</v>
      </c>
      <c r="D27" s="225"/>
      <c r="E27" s="252" t="s">
        <v>57</v>
      </c>
      <c r="F27" s="263">
        <v>36</v>
      </c>
      <c r="G27" s="249"/>
      <c r="I27" s="214">
        <v>1963</v>
      </c>
      <c r="J27" s="214">
        <v>2028</v>
      </c>
      <c r="K27" s="214">
        <v>24</v>
      </c>
      <c r="L27" s="214">
        <v>9.6000000000000002E-2</v>
      </c>
      <c r="M27" s="214">
        <v>456</v>
      </c>
    </row>
    <row r="28" spans="1:13" ht="13.5" thickBot="1" x14ac:dyDescent="0.25">
      <c r="A28" s="224"/>
      <c r="B28" s="225" t="s">
        <v>59</v>
      </c>
      <c r="C28" s="250">
        <f>IF(C6=6,0,C24+C25+C26)</f>
        <v>1036</v>
      </c>
      <c r="D28" s="386"/>
      <c r="E28" s="264" t="s">
        <v>58</v>
      </c>
      <c r="F28" s="265">
        <v>8388</v>
      </c>
      <c r="G28" s="260"/>
      <c r="I28" s="214">
        <v>1964</v>
      </c>
      <c r="J28" s="214">
        <v>2029</v>
      </c>
      <c r="K28" s="214">
        <v>25</v>
      </c>
      <c r="L28" s="214">
        <v>8.7999999999999995E-2</v>
      </c>
      <c r="M28" s="214">
        <v>418</v>
      </c>
    </row>
    <row r="29" spans="1:13" ht="13.5" thickTop="1" x14ac:dyDescent="0.2">
      <c r="A29" s="256" t="s">
        <v>60</v>
      </c>
      <c r="B29" s="241" t="s">
        <v>51</v>
      </c>
      <c r="C29" s="266" t="e">
        <f>MIN(C9,C21)</f>
        <v>#VALUE!</v>
      </c>
      <c r="D29" s="386"/>
      <c r="E29" s="227" t="s">
        <v>142</v>
      </c>
      <c r="F29" s="267">
        <v>1900</v>
      </c>
      <c r="G29" s="268" t="s">
        <v>60</v>
      </c>
      <c r="I29" s="214">
        <v>1965</v>
      </c>
      <c r="J29" s="214">
        <v>2030</v>
      </c>
      <c r="K29" s="214">
        <v>26</v>
      </c>
      <c r="L29" s="214">
        <v>0.08</v>
      </c>
      <c r="M29" s="214">
        <v>380</v>
      </c>
    </row>
    <row r="30" spans="1:13" ht="13.5" thickBot="1" x14ac:dyDescent="0.25">
      <c r="A30" s="224"/>
      <c r="B30" s="225" t="s">
        <v>61</v>
      </c>
      <c r="C30" s="269" t="e">
        <f>IF(C4=1,0,ROUNDDOWN(F19*C29*G5,2))</f>
        <v>#VALUE!</v>
      </c>
      <c r="D30" s="387"/>
      <c r="E30" s="264" t="s">
        <v>142</v>
      </c>
      <c r="F30" s="265">
        <v>3000</v>
      </c>
      <c r="G30" s="260"/>
      <c r="I30" s="214">
        <v>1966</v>
      </c>
      <c r="J30" s="214">
        <v>2031</v>
      </c>
      <c r="K30" s="214">
        <v>27</v>
      </c>
      <c r="L30" s="214">
        <v>7.1999999999999995E-2</v>
      </c>
      <c r="M30" s="214">
        <v>342</v>
      </c>
    </row>
    <row r="31" spans="1:13" ht="13.5" thickTop="1" x14ac:dyDescent="0.2">
      <c r="A31" s="224"/>
      <c r="B31" s="225" t="s">
        <v>62</v>
      </c>
      <c r="C31" s="269">
        <f>IF(C23=1,F29,F30)</f>
        <v>1900</v>
      </c>
      <c r="D31" s="387"/>
      <c r="E31" s="270"/>
      <c r="F31" s="271">
        <v>0.42</v>
      </c>
      <c r="G31" s="247" t="s">
        <v>71</v>
      </c>
      <c r="I31" s="214">
        <v>1967</v>
      </c>
      <c r="J31" s="214">
        <v>2032</v>
      </c>
      <c r="K31" s="214">
        <v>28</v>
      </c>
      <c r="L31" s="214">
        <v>6.4000000000000001E-2</v>
      </c>
      <c r="M31" s="214">
        <v>304</v>
      </c>
    </row>
    <row r="32" spans="1:13" ht="13.5" thickBot="1" x14ac:dyDescent="0.25">
      <c r="A32" s="224"/>
      <c r="B32" s="225" t="s">
        <v>63</v>
      </c>
      <c r="C32" s="269" t="e">
        <f>MIN(C31,ROUNDDOWN(0.12*C29,2))</f>
        <v>#VALUE!</v>
      </c>
      <c r="D32" s="387"/>
      <c r="E32" s="272"/>
      <c r="F32" s="273">
        <v>0.45</v>
      </c>
      <c r="G32" s="272"/>
      <c r="I32" s="214">
        <v>1968</v>
      </c>
      <c r="J32" s="214">
        <v>2033</v>
      </c>
      <c r="K32" s="214">
        <v>29</v>
      </c>
      <c r="L32" s="214">
        <v>5.6000000000000001E-2</v>
      </c>
      <c r="M32" s="214">
        <v>266</v>
      </c>
    </row>
    <row r="33" spans="1:13" x14ac:dyDescent="0.2">
      <c r="A33" s="224"/>
      <c r="B33" s="274" t="str">
        <f>IF(Eingaben!H12=0,"KVSatz=0",(Eingaben!H12 +Eingaben!H13)/2 &amp; " % + PV")</f>
        <v>KVSatz=0</v>
      </c>
      <c r="C33" s="348">
        <f>IF(Berechnung!P16=0,0,G4+C11)</f>
        <v>9.1750000000000012E-2</v>
      </c>
      <c r="D33" s="388"/>
      <c r="E33" s="249" t="s">
        <v>141</v>
      </c>
      <c r="F33" s="271">
        <v>5.5</v>
      </c>
      <c r="G33" s="268" t="s">
        <v>89</v>
      </c>
      <c r="I33" s="214">
        <v>1969</v>
      </c>
      <c r="J33" s="214">
        <v>2034</v>
      </c>
      <c r="K33" s="214">
        <v>30</v>
      </c>
      <c r="L33" s="214">
        <v>4.8000000000000001E-2</v>
      </c>
      <c r="M33" s="214">
        <v>228</v>
      </c>
    </row>
    <row r="34" spans="1:13" ht="13.5" thickBot="1" x14ac:dyDescent="0.25">
      <c r="A34" s="224"/>
      <c r="B34" s="275" t="s">
        <v>64</v>
      </c>
      <c r="C34" s="276" t="e">
        <f>IF(C10&gt;0,IF(C6=6,0,C10),ROUNDDOWN(MIN(C21,F17)*C33*100,0)/100)</f>
        <v>#VALUE!</v>
      </c>
      <c r="D34" s="389"/>
      <c r="E34" s="260"/>
      <c r="F34" s="277">
        <v>11.9</v>
      </c>
      <c r="G34" s="278" t="s">
        <v>201</v>
      </c>
      <c r="I34" s="214">
        <v>1970</v>
      </c>
      <c r="J34" s="214">
        <v>2035</v>
      </c>
      <c r="K34" s="214">
        <v>31</v>
      </c>
      <c r="L34" s="214">
        <v>0.04</v>
      </c>
      <c r="M34" s="214">
        <v>190</v>
      </c>
    </row>
    <row r="35" spans="1:13" ht="13.5" thickTop="1" x14ac:dyDescent="0.2">
      <c r="A35" s="224"/>
      <c r="B35" s="225" t="s">
        <v>65</v>
      </c>
      <c r="C35" s="269" t="e">
        <f>IF(C34&gt;C31,C34,C32)</f>
        <v>#VALUE!</v>
      </c>
      <c r="D35" s="387"/>
      <c r="E35" s="249"/>
      <c r="F35" s="255">
        <v>14753</v>
      </c>
      <c r="G35" s="268" t="s">
        <v>202</v>
      </c>
      <c r="I35" s="214">
        <v>1971</v>
      </c>
      <c r="J35" s="214">
        <v>2036</v>
      </c>
      <c r="K35" s="214">
        <v>32</v>
      </c>
      <c r="L35" s="214">
        <v>3.2000000000000001E-2</v>
      </c>
      <c r="M35" s="214">
        <v>152</v>
      </c>
    </row>
    <row r="36" spans="1:13" x14ac:dyDescent="0.2">
      <c r="A36" s="224"/>
      <c r="B36" s="225" t="s">
        <v>66</v>
      </c>
      <c r="C36" s="269" t="e">
        <f>ROUNDUP(C30+C35,0)</f>
        <v>#VALUE!</v>
      </c>
      <c r="D36" s="387"/>
      <c r="E36" s="249"/>
      <c r="F36" s="255">
        <v>57918</v>
      </c>
      <c r="G36" s="249"/>
      <c r="I36" s="214">
        <v>1972</v>
      </c>
      <c r="J36" s="214">
        <v>2037</v>
      </c>
      <c r="K36" s="214">
        <v>33</v>
      </c>
      <c r="L36" s="214">
        <v>2.4E-2</v>
      </c>
      <c r="M36" s="214">
        <v>114</v>
      </c>
    </row>
    <row r="37" spans="1:13" x14ac:dyDescent="0.2">
      <c r="A37" s="256" t="s">
        <v>67</v>
      </c>
      <c r="B37" s="241" t="s">
        <v>68</v>
      </c>
      <c r="C37" s="266" t="e">
        <f>ROUNDDOWN(C20-C28-C36,0)</f>
        <v>#VALUE!</v>
      </c>
      <c r="D37" s="386"/>
      <c r="E37" s="249"/>
      <c r="F37" s="255">
        <v>274613</v>
      </c>
      <c r="G37" s="249"/>
      <c r="I37" s="214">
        <v>1973</v>
      </c>
      <c r="J37" s="214">
        <v>2038</v>
      </c>
      <c r="K37" s="214">
        <v>34</v>
      </c>
      <c r="L37" s="214">
        <v>1.6E-2</v>
      </c>
      <c r="M37" s="214">
        <v>76</v>
      </c>
    </row>
    <row r="38" spans="1:13" x14ac:dyDescent="0.2">
      <c r="A38" s="279"/>
      <c r="B38" s="225" t="s">
        <v>69</v>
      </c>
      <c r="C38" s="250" t="e">
        <f>MAX(0,ROUNDDOWN(C37/C23,0))</f>
        <v>#VALUE!</v>
      </c>
      <c r="D38" s="386"/>
      <c r="E38" s="249"/>
      <c r="F38" s="280">
        <v>208.85</v>
      </c>
      <c r="G38" s="249"/>
      <c r="I38" s="214">
        <v>1974</v>
      </c>
      <c r="J38" s="214">
        <v>2039</v>
      </c>
      <c r="K38" s="214">
        <v>35</v>
      </c>
      <c r="L38" s="214">
        <v>8.0000000000000002E-3</v>
      </c>
      <c r="M38" s="214">
        <v>38</v>
      </c>
    </row>
    <row r="39" spans="1:13" x14ac:dyDescent="0.2">
      <c r="A39" s="256" t="s">
        <v>139</v>
      </c>
      <c r="B39" s="241" t="s">
        <v>70</v>
      </c>
      <c r="C39" s="266" t="e">
        <f>IF(C38&lt;=F23,0,IF(C38&lt;=F35,INT((F41*(C38-F23)/10000+F42)*(C38-F23)/10000),IF(C38&lt;=F36,INT((F38*(C38-F35)/10000+F39)*(C38-F35)/10000+F40),IF(C38&lt;F37,INT(C38*F31-F43),INT(C38*F32-F44)))))*C23</f>
        <v>#VALUE!</v>
      </c>
      <c r="D39" s="386"/>
      <c r="E39" s="249"/>
      <c r="F39" s="255">
        <v>2397</v>
      </c>
      <c r="G39" s="249"/>
      <c r="I39" s="214">
        <v>1975</v>
      </c>
      <c r="J39" s="214">
        <v>2040</v>
      </c>
      <c r="K39" s="214">
        <v>36</v>
      </c>
      <c r="L39" s="214">
        <v>0</v>
      </c>
      <c r="M39" s="214">
        <v>0</v>
      </c>
    </row>
    <row r="40" spans="1:13" x14ac:dyDescent="0.2">
      <c r="A40" s="256" t="s">
        <v>71</v>
      </c>
      <c r="B40" s="241" t="s">
        <v>72</v>
      </c>
      <c r="C40" s="281" t="e">
        <f>MIN(F21,C38)*1.25</f>
        <v>#VALUE!</v>
      </c>
      <c r="D40" s="387"/>
      <c r="E40" s="249"/>
      <c r="F40" s="280">
        <v>950.96</v>
      </c>
      <c r="G40" s="249"/>
    </row>
    <row r="41" spans="1:13" x14ac:dyDescent="0.2">
      <c r="A41" s="224"/>
      <c r="B41" s="225" t="s">
        <v>73</v>
      </c>
      <c r="C41" s="250" t="e">
        <f>IF(C40&lt;=F23,0,IF(C40&lt;=F35,INT((F41*(C40-F23)/10000+F42)*(C40-F23)/10000),IF(C40&lt;=F36,INT((F38*(C40-F35)/10000+F39)*(C40-F35)/10000+F40),IF(C40&lt;=F37,INT(C40*F31-F43),INT(C40*F32-F44)))))</f>
        <v>#VALUE!</v>
      </c>
      <c r="D41" s="386"/>
      <c r="E41" s="249"/>
      <c r="F41" s="280">
        <v>995.21</v>
      </c>
      <c r="G41" s="249"/>
    </row>
    <row r="42" spans="1:13" x14ac:dyDescent="0.2">
      <c r="A42" s="224"/>
      <c r="B42" s="225" t="s">
        <v>72</v>
      </c>
      <c r="C42" s="250" t="e">
        <f>MIN(F21,C38)*0.75</f>
        <v>#VALUE!</v>
      </c>
      <c r="D42" s="386"/>
      <c r="E42" s="249"/>
      <c r="F42" s="255">
        <v>1400</v>
      </c>
      <c r="G42" s="249"/>
    </row>
    <row r="43" spans="1:13" x14ac:dyDescent="0.2">
      <c r="A43" s="224"/>
      <c r="B43" s="225" t="s">
        <v>74</v>
      </c>
      <c r="C43" s="226" t="e">
        <f>IF(C42&lt;=F23,0,IF(C42&lt;=F35,INT((F41*(C42-F23)/10000+F42)*(C42-F23)/10000),IF(C42&lt;F36,INT((F38*(C42-F35)/10000+F39)*(C42-F35)/10000+F40),IF(C42&lt;F37,INT(C42*F31-F43),INT(C42*F32-F44)))))</f>
        <v>#VALUE!</v>
      </c>
      <c r="D43" s="225"/>
      <c r="E43" s="249"/>
      <c r="F43" s="280">
        <v>9136.6299999999992</v>
      </c>
      <c r="G43" s="249"/>
    </row>
    <row r="44" spans="1:13" x14ac:dyDescent="0.2">
      <c r="A44" s="224"/>
      <c r="B44" s="225" t="s">
        <v>75</v>
      </c>
      <c r="C44" s="250" t="e">
        <f>(C41-C43)*2</f>
        <v>#VALUE!</v>
      </c>
      <c r="D44" s="386"/>
      <c r="E44" s="282"/>
      <c r="F44" s="280">
        <v>17374.990000000002</v>
      </c>
      <c r="G44" s="282"/>
    </row>
    <row r="45" spans="1:13" x14ac:dyDescent="0.2">
      <c r="A45" s="224"/>
      <c r="B45" s="225" t="s">
        <v>76</v>
      </c>
      <c r="C45" s="250" t="e">
        <f>ROUNDDOWN(MIN(C38,F21)*0.14,0)</f>
        <v>#VALUE!</v>
      </c>
      <c r="D45" s="386"/>
    </row>
    <row r="46" spans="1:13" x14ac:dyDescent="0.2">
      <c r="A46" s="224"/>
      <c r="B46" s="225" t="s">
        <v>70</v>
      </c>
      <c r="C46" s="250" t="e">
        <f>MAX(C44,C45)</f>
        <v>#VALUE!</v>
      </c>
      <c r="D46" s="386"/>
    </row>
    <row r="47" spans="1:13" x14ac:dyDescent="0.2">
      <c r="A47" s="224"/>
      <c r="B47" s="225" t="s">
        <v>70</v>
      </c>
      <c r="C47" s="250" t="e">
        <f>IF(C38&gt;F22,(F22 - F21)*F31 + C46,ROUNDDOWN(MAX(C38-F21,0)*F31+C46,0))</f>
        <v>#VALUE!</v>
      </c>
      <c r="D47" s="386"/>
    </row>
    <row r="48" spans="1:13" x14ac:dyDescent="0.2">
      <c r="A48" s="224"/>
      <c r="B48" s="225" t="s">
        <v>77</v>
      </c>
      <c r="C48" s="250" t="e">
        <f>IF(AND(C38&gt;F20,C38&lt;=F21),C46,0)</f>
        <v>#VALUE!</v>
      </c>
      <c r="D48" s="386"/>
    </row>
    <row r="49" spans="1:4" x14ac:dyDescent="0.2">
      <c r="A49" s="224"/>
      <c r="B49" s="225" t="s">
        <v>70</v>
      </c>
      <c r="C49" s="250">
        <f>ROUNDDOWN(F20*0.14,0)</f>
        <v>1573</v>
      </c>
      <c r="D49" s="386"/>
    </row>
    <row r="50" spans="1:4" x14ac:dyDescent="0.2">
      <c r="A50" s="224"/>
      <c r="B50" s="225" t="s">
        <v>70</v>
      </c>
      <c r="C50" s="250" t="e">
        <f xml:space="preserve"> MIN(ROUNDDOWN(MAX(C38-F20,0)*F31+C49,0),C47)</f>
        <v>#VALUE!</v>
      </c>
      <c r="D50" s="386"/>
    </row>
    <row r="51" spans="1:4" x14ac:dyDescent="0.2">
      <c r="A51" s="224"/>
      <c r="B51" s="225" t="s">
        <v>78</v>
      </c>
      <c r="C51" s="250" t="e">
        <f>ROUNDDOWN(MAX(C38-F22,0)*F32+C50,0)</f>
        <v>#VALUE!</v>
      </c>
      <c r="D51" s="386"/>
    </row>
    <row r="52" spans="1:4" x14ac:dyDescent="0.2">
      <c r="A52" s="224"/>
      <c r="B52" s="225" t="s">
        <v>79</v>
      </c>
      <c r="C52" s="250" t="e">
        <f>ROUNDDOWN(IF(C6&lt;5,C39,C51)*C12,0)</f>
        <v>#VALUE!</v>
      </c>
      <c r="D52" s="386"/>
    </row>
    <row r="53" spans="1:4" x14ac:dyDescent="0.2">
      <c r="A53" s="224"/>
      <c r="B53" s="225" t="s">
        <v>81</v>
      </c>
      <c r="C53" s="250" t="e">
        <f>C52*100</f>
        <v>#VALUE!</v>
      </c>
      <c r="D53" s="386"/>
    </row>
    <row r="54" spans="1:4" x14ac:dyDescent="0.2">
      <c r="A54" s="256" t="s">
        <v>84</v>
      </c>
      <c r="B54" s="241" t="s">
        <v>85</v>
      </c>
      <c r="C54" s="266" t="e">
        <f>IF(C3=1,C53,IF(C3=2,ROUNDDOWN(C53/12,0),IF(C3=3,ROUNDDOWN((C53*7)/360,0),ROUNDDOWN(C53/360,0))))</f>
        <v>#VALUE!</v>
      </c>
      <c r="D54" s="386"/>
    </row>
    <row r="55" spans="1:4" x14ac:dyDescent="0.2">
      <c r="A55" s="224"/>
      <c r="B55" s="225" t="s">
        <v>59</v>
      </c>
      <c r="C55" s="250">
        <f>C27+C28</f>
        <v>1036</v>
      </c>
      <c r="D55" s="386"/>
    </row>
    <row r="56" spans="1:4" x14ac:dyDescent="0.2">
      <c r="A56" s="224"/>
      <c r="B56" s="225" t="s">
        <v>68</v>
      </c>
      <c r="C56" s="250" t="e">
        <f>C20-C36-C55</f>
        <v>#VALUE!</v>
      </c>
      <c r="D56" s="386"/>
    </row>
    <row r="57" spans="1:4" x14ac:dyDescent="0.2">
      <c r="A57" s="224"/>
      <c r="B57" s="225" t="s">
        <v>86</v>
      </c>
      <c r="C57" s="250" t="e">
        <f>IF(C56&lt;36,0,ROUNDDOWN(C56/C23,0))</f>
        <v>#VALUE!</v>
      </c>
      <c r="D57" s="386"/>
    </row>
    <row r="58" spans="1:4" x14ac:dyDescent="0.2">
      <c r="A58" s="224"/>
      <c r="B58" s="225" t="s">
        <v>70</v>
      </c>
      <c r="C58" s="250" t="e">
        <f>IF(C57&lt;=F23,0,IF(C57&lt;=F35,INT((F41*(C57-F23)/10000+F42)*(C57-F23)/10000),IF(C57&lt;=F36,INT((F38*(C57-F35)/10000+F39)*(C57-F35)/10000+F40),IF(C57&lt;F37,INT(C57*F31-F43),INT(C57*F32-F44)))))*C23</f>
        <v>#VALUE!</v>
      </c>
      <c r="D58" s="386"/>
    </row>
    <row r="59" spans="1:4" x14ac:dyDescent="0.2">
      <c r="A59" s="224"/>
      <c r="B59" s="225" t="s">
        <v>87</v>
      </c>
      <c r="C59" s="250" t="e">
        <f>IF(C2&gt;0,ROUNDDOWN(C58*C12,0),C52)</f>
        <v>#VALUE!</v>
      </c>
      <c r="D59" s="386"/>
    </row>
    <row r="60" spans="1:4" x14ac:dyDescent="0.2">
      <c r="A60" s="256" t="s">
        <v>89</v>
      </c>
      <c r="B60" s="241" t="s">
        <v>90</v>
      </c>
      <c r="C60" s="242">
        <f>(F24)*C23</f>
        <v>16956</v>
      </c>
      <c r="D60" s="225"/>
    </row>
    <row r="61" spans="1:4" x14ac:dyDescent="0.2">
      <c r="A61" s="224"/>
      <c r="B61" s="225" t="s">
        <v>91</v>
      </c>
      <c r="C61" s="239" t="e">
        <f>ROUNDDOWN((C59*F33)/100,2)</f>
        <v>#VALUE!</v>
      </c>
      <c r="D61" s="385"/>
    </row>
    <row r="62" spans="1:4" x14ac:dyDescent="0.2">
      <c r="A62" s="224"/>
      <c r="B62" s="225" t="s">
        <v>92</v>
      </c>
      <c r="C62" s="239" t="e">
        <f>((C59-C60)*F34)/100</f>
        <v>#VALUE!</v>
      </c>
      <c r="D62" s="385"/>
    </row>
    <row r="63" spans="1:4" x14ac:dyDescent="0.2">
      <c r="A63" s="224"/>
      <c r="B63" s="225" t="s">
        <v>91</v>
      </c>
      <c r="C63" s="239" t="e">
        <f>MIN(C62,C61)</f>
        <v>#VALUE!</v>
      </c>
      <c r="D63" s="385"/>
    </row>
    <row r="64" spans="1:4" x14ac:dyDescent="0.2">
      <c r="A64" s="224"/>
      <c r="B64" s="225" t="s">
        <v>81</v>
      </c>
      <c r="C64" s="226" t="e">
        <f>C63*100</f>
        <v>#VALUE!</v>
      </c>
      <c r="D64" s="225"/>
    </row>
    <row r="65" spans="1:4" x14ac:dyDescent="0.2">
      <c r="A65" s="256" t="s">
        <v>93</v>
      </c>
      <c r="B65" s="241" t="s">
        <v>94</v>
      </c>
      <c r="C65" s="266" t="e">
        <f>ROUNDDOWN(IF(C3=1,C64,IF(C3=2,C64/12,IF(C3=3,(C64*7)/360,C64/360))),0)</f>
        <v>#VALUE!</v>
      </c>
      <c r="D65" s="386"/>
    </row>
    <row r="66" spans="1:4" x14ac:dyDescent="0.2">
      <c r="A66" s="224"/>
      <c r="B66" s="225" t="s">
        <v>95</v>
      </c>
      <c r="C66" s="250" t="e">
        <f>IF(C59&gt;C60,C65,0)</f>
        <v>#VALUE!</v>
      </c>
      <c r="D66" s="386"/>
    </row>
    <row r="67" spans="1:4" x14ac:dyDescent="0.2">
      <c r="A67" s="224"/>
      <c r="B67" s="225" t="s">
        <v>81</v>
      </c>
      <c r="C67" s="250" t="e">
        <f>C59*100</f>
        <v>#VALUE!</v>
      </c>
      <c r="D67" s="386"/>
    </row>
    <row r="68" spans="1:4" x14ac:dyDescent="0.2">
      <c r="A68" s="283" t="s">
        <v>96</v>
      </c>
      <c r="B68" s="284" t="s">
        <v>96</v>
      </c>
      <c r="C68" s="285" t="e">
        <f>ROUNDDOWN(IF(C3=1,C67,IF(C3=2,C67/12,IF(C3=3,(C67*7)/360,C67/360))),0)</f>
        <v>#VALUE!</v>
      </c>
      <c r="D68" s="386"/>
    </row>
    <row r="69" spans="1:4" x14ac:dyDescent="0.2">
      <c r="A69" s="283" t="s">
        <v>138</v>
      </c>
      <c r="B69" s="284" t="s">
        <v>137</v>
      </c>
      <c r="C69" s="286">
        <f>IF(C3=1,12,IF(C3=2,1,IF(C3=3,84/360,12/360)))</f>
        <v>12</v>
      </c>
      <c r="D69" s="390"/>
    </row>
  </sheetData>
  <mergeCells count="1">
    <mergeCell ref="I1:M1"/>
  </mergeCells>
  <pageMargins left="0.78740157499999996" right="0.78740157499999996" top="0.984251969" bottom="0.984251969" header="0.5" footer="0.5"/>
  <pageSetup paperSize="9" orientation="portrait" horizontalDpi="4294967292" verticalDpi="429496729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"/>
  <dimension ref="A1:K69"/>
  <sheetViews>
    <sheetView zoomScale="140" zoomScaleNormal="140" workbookViewId="0">
      <selection activeCell="F82" sqref="F82"/>
    </sheetView>
  </sheetViews>
  <sheetFormatPr baseColWidth="10" defaultColWidth="11.5703125" defaultRowHeight="12.75" x14ac:dyDescent="0.2"/>
  <cols>
    <col min="1" max="2" width="11.5703125" style="290"/>
    <col min="3" max="3" width="12.7109375" style="290" bestFit="1" customWidth="1"/>
    <col min="4" max="4" width="11.5703125" style="290"/>
    <col min="5" max="5" width="18.42578125" style="290" bestFit="1" customWidth="1"/>
    <col min="6" max="16384" width="11.5703125" style="290"/>
  </cols>
  <sheetData>
    <row r="1" spans="1:11" ht="27" thickBot="1" x14ac:dyDescent="0.4">
      <c r="A1" s="287" t="s">
        <v>170</v>
      </c>
      <c r="B1" s="288">
        <v>2020</v>
      </c>
      <c r="C1" s="289"/>
      <c r="E1" s="291" t="str">
        <f>"SOZ-VS-BEITRAGSSÄTZE  "&amp;BearbJahr</f>
        <v>SOZ-VS-BEITRAGSSÄTZE  2020</v>
      </c>
      <c r="F1" s="292"/>
      <c r="G1" s="293"/>
    </row>
    <row r="2" spans="1:11" ht="15.75" thickBot="1" x14ac:dyDescent="0.3">
      <c r="A2" s="294" t="s">
        <v>150</v>
      </c>
      <c r="B2" s="295" t="s">
        <v>31</v>
      </c>
      <c r="C2" s="296">
        <f>IF(Berechnung!P11&gt;4,0,Berechnung!P14)</f>
        <v>0</v>
      </c>
      <c r="E2" s="297" t="s">
        <v>169</v>
      </c>
      <c r="F2" s="298" t="s">
        <v>168</v>
      </c>
      <c r="G2" s="299" t="s">
        <v>167</v>
      </c>
    </row>
    <row r="3" spans="1:11" x14ac:dyDescent="0.2">
      <c r="A3" s="300"/>
      <c r="B3" s="301" t="s">
        <v>33</v>
      </c>
      <c r="C3" s="302">
        <f>Berechnung!P9</f>
        <v>1</v>
      </c>
      <c r="E3" s="303" t="s">
        <v>166</v>
      </c>
      <c r="F3" s="124">
        <v>0.14599999999999999</v>
      </c>
      <c r="G3" s="124" t="e">
        <f>F3/2+Berechnung!P17/200</f>
        <v>#VALUE!</v>
      </c>
      <c r="H3" s="290" t="s">
        <v>165</v>
      </c>
    </row>
    <row r="4" spans="1:11" x14ac:dyDescent="0.2">
      <c r="A4" s="300"/>
      <c r="B4" s="301" t="s">
        <v>34</v>
      </c>
      <c r="C4" s="302">
        <f>Berechnung!P13</f>
        <v>0</v>
      </c>
      <c r="E4" s="304" t="s">
        <v>164</v>
      </c>
      <c r="F4" s="305" t="e">
        <f>Berechnung!P17/100</f>
        <v>#VALUE!</v>
      </c>
      <c r="G4" s="124" t="e">
        <f>F4/2+0.07</f>
        <v>#VALUE!</v>
      </c>
    </row>
    <row r="5" spans="1:11" x14ac:dyDescent="0.2">
      <c r="A5" s="300"/>
      <c r="B5" s="301" t="s">
        <v>35</v>
      </c>
      <c r="C5" s="306" t="e">
        <f>ROUNDDOWN(IF(C3=1,Berechnung!H8*100,IF(C3=2,(Berechnung!H8*100)*12,IF(C3=3,((Berechnung!H8*100)*360)/7,(Berechnung!H8*100)*360))),2)</f>
        <v>#VALUE!</v>
      </c>
      <c r="E5" s="303" t="s">
        <v>163</v>
      </c>
      <c r="F5" s="307">
        <v>0.186</v>
      </c>
      <c r="G5" s="124">
        <f>F5/2</f>
        <v>9.2999999999999999E-2</v>
      </c>
    </row>
    <row r="6" spans="1:11" x14ac:dyDescent="0.2">
      <c r="A6" s="300"/>
      <c r="B6" s="301" t="s">
        <v>36</v>
      </c>
      <c r="C6" s="308">
        <f>+Berechnung!P11</f>
        <v>1</v>
      </c>
      <c r="E6" s="304" t="s">
        <v>162</v>
      </c>
      <c r="F6" s="305">
        <v>2.4E-2</v>
      </c>
      <c r="G6" s="124">
        <f>F6/2</f>
        <v>1.2E-2</v>
      </c>
    </row>
    <row r="7" spans="1:11" x14ac:dyDescent="0.2">
      <c r="A7" s="300"/>
      <c r="B7" s="301" t="s">
        <v>39</v>
      </c>
      <c r="C7" s="309">
        <f>IF(C6=6,0,Berechnung!P23*100)</f>
        <v>0</v>
      </c>
      <c r="E7" s="304" t="s">
        <v>161</v>
      </c>
      <c r="F7" s="305">
        <v>3.0499999999999999E-2</v>
      </c>
      <c r="G7" s="124">
        <f>IF(AND(Berechnung!P19=1,Berechnung!P21=1),F8+F9,IF(Berechnung!P21=1,F8,IF(AND(Berechnung!P14=0,Berechnung!P19=1),F7/2+F9,F7/2)))</f>
        <v>1.525E-2</v>
      </c>
      <c r="H7" s="290" t="s">
        <v>160</v>
      </c>
    </row>
    <row r="8" spans="1:11" x14ac:dyDescent="0.2">
      <c r="A8" s="300"/>
      <c r="B8" s="301" t="s">
        <v>37</v>
      </c>
      <c r="C8" s="310">
        <f>Berechnung!P24*100</f>
        <v>0</v>
      </c>
      <c r="E8" s="304" t="s">
        <v>159</v>
      </c>
      <c r="F8" s="124">
        <v>2.0250000000000001E-2</v>
      </c>
      <c r="G8" s="122"/>
    </row>
    <row r="9" spans="1:11" x14ac:dyDescent="0.2">
      <c r="A9" s="300"/>
      <c r="B9" s="301" t="s">
        <v>135</v>
      </c>
      <c r="C9" s="311">
        <f>IF(Berechnung!P20=0,F15,F16)</f>
        <v>82800</v>
      </c>
      <c r="E9" s="312" t="s">
        <v>158</v>
      </c>
      <c r="F9" s="124">
        <v>2.5000000000000001E-3</v>
      </c>
      <c r="G9" s="123"/>
    </row>
    <row r="10" spans="1:11" x14ac:dyDescent="0.2">
      <c r="A10" s="300"/>
      <c r="B10" s="301" t="s">
        <v>42</v>
      </c>
      <c r="C10" s="311" t="e">
        <f>IF(Berechnung!H16&gt;20,MAX($C$31,ROUNDDOWN(Berechnung!H16*12,2)-IF(Berechnung!P17=1,IF(Berechnung!P20=1,SUM(F11,F7,-F8),SUM(F11,F7/2))*MIN(C5/100,F17),0)),0)</f>
        <v>#VALUE!</v>
      </c>
      <c r="E10" s="312" t="s">
        <v>157</v>
      </c>
      <c r="F10" s="124">
        <v>1.0999999999999999E-2</v>
      </c>
      <c r="G10" s="123"/>
    </row>
    <row r="11" spans="1:11" x14ac:dyDescent="0.2">
      <c r="A11" s="313"/>
      <c r="B11" s="301" t="s">
        <v>43</v>
      </c>
      <c r="C11" s="314">
        <f>IF(AND(Berechnung!P19=1,Berechnung!P21=1),F8+F9,IF(Berechnung!P21=1,F8,IF(AND(Berechnung!P14=0,Berechnung!P19=1),F7/2+F9,F7/2)))</f>
        <v>1.525E-2</v>
      </c>
      <c r="E11" s="312" t="s">
        <v>156</v>
      </c>
      <c r="F11" s="315">
        <v>7.4499999999999997E-2</v>
      </c>
      <c r="G11" s="122">
        <f>F3/2+F7-G7+F10/2</f>
        <v>9.375E-2</v>
      </c>
      <c r="H11" s="290" t="s">
        <v>155</v>
      </c>
    </row>
    <row r="12" spans="1:11" x14ac:dyDescent="0.2">
      <c r="A12" s="300"/>
      <c r="B12" s="301" t="s">
        <v>44</v>
      </c>
      <c r="C12" s="316">
        <f>IF(OR(OR(Berechnung!P12=0,Berechnung!P12&gt;1),Berechnung!P11&lt;&gt;4),1,Berechnung!P12)</f>
        <v>1</v>
      </c>
    </row>
    <row r="13" spans="1:11" s="301" customFormat="1" ht="16.5" x14ac:dyDescent="0.25">
      <c r="A13" s="317" t="s">
        <v>45</v>
      </c>
      <c r="B13" s="301" t="s">
        <v>46</v>
      </c>
      <c r="C13" s="302">
        <f>IF(Berechnung!P22=1,0.4,IF(Berechnung!P22=2,0.384,IF(Berechnung!P22=3,0.368,IF(Berechnung!P22=4,0.352,IF(Berechnung!P22=5,0.336,IF(Berechnung!P22=6,0.32,IF(Berechnung!P22=7,0.304,IF(Berechnung!P22=8,0.288,0)))))))) + IF(Berechnung!P22=9,0.272,IF(Berechnung!P22=10,0.256,IF(Berechnung!P22=11,0.24,IF(Berechnung!P22=12,0.224,IF(Berechnung!P22=13,0.208,IF(Berechnung!P22=14,0.192,IF(Berechnung!P22=15,0.176,0))))))) + IF(Berechnung!P22=16,0.16,0)</f>
        <v>0</v>
      </c>
      <c r="D13" s="290"/>
      <c r="E13" s="318" t="s">
        <v>154</v>
      </c>
      <c r="F13" s="319"/>
      <c r="G13" s="320"/>
      <c r="H13" s="290"/>
      <c r="I13" s="290"/>
      <c r="J13" s="290"/>
      <c r="K13" s="290"/>
    </row>
    <row r="14" spans="1:11" s="301" customFormat="1" ht="15.75" thickBot="1" x14ac:dyDescent="0.3">
      <c r="B14" s="301" t="s">
        <v>47</v>
      </c>
      <c r="C14" s="302">
        <f>IF(Berechnung!P22=1,190000,IF(Berechnung!P22=2,182400,IF(Berechnung!P22=3,174800,IF(Berechnung!P22=4,167200,IF(Berechnung!P22=5,159600,IF(Berechnung!P22=6,152000,IF(Berechnung!P22=7,144400,IF(Berechnung!P22=8,136800,0))))))))+IF(Berechnung!P22=9,129200,IF(Berechnung!P22=10,121600,IF(Berechnung!P22=11,114000,IF(Berechnung!P22=12,106400,IF(Berechnung!P22=13,98800,IF(Berechnung!P22=14,91200,IF(Berechnung!P22=15,83600,0)))))))+IF(Berechnung!P22=16,76000,0)</f>
        <v>0</v>
      </c>
      <c r="D14" s="290"/>
      <c r="E14" s="321" t="s">
        <v>153</v>
      </c>
      <c r="F14" s="322" t="s">
        <v>152</v>
      </c>
      <c r="G14" s="321" t="s">
        <v>151</v>
      </c>
      <c r="H14" s="290"/>
      <c r="I14" s="290"/>
      <c r="J14" s="290"/>
      <c r="K14" s="290"/>
    </row>
    <row r="15" spans="1:11" s="301" customFormat="1" ht="13.5" thickTop="1" x14ac:dyDescent="0.2">
      <c r="B15" s="301" t="s">
        <v>48</v>
      </c>
      <c r="C15" s="302">
        <f>C14</f>
        <v>0</v>
      </c>
      <c r="D15" s="290"/>
      <c r="E15" s="303" t="s">
        <v>135</v>
      </c>
      <c r="F15" s="323">
        <v>82800</v>
      </c>
      <c r="G15" s="324" t="s">
        <v>150</v>
      </c>
      <c r="H15" s="290"/>
      <c r="I15" s="290"/>
      <c r="J15" s="290"/>
      <c r="K15" s="290"/>
    </row>
    <row r="16" spans="1:11" s="301" customFormat="1" x14ac:dyDescent="0.2">
      <c r="B16" s="301" t="s">
        <v>49</v>
      </c>
      <c r="C16" s="302">
        <f>IF(Berechnung!P22=0,0,IF((C5*C13)&gt;C15,C15,C5*C13))</f>
        <v>0</v>
      </c>
      <c r="D16" s="290"/>
      <c r="E16" s="303" t="s">
        <v>135</v>
      </c>
      <c r="F16" s="325">
        <v>77400</v>
      </c>
      <c r="G16" s="326"/>
      <c r="H16" s="290"/>
      <c r="I16" s="290"/>
      <c r="J16" s="290"/>
      <c r="K16" s="290"/>
    </row>
    <row r="17" spans="1:11" s="301" customFormat="1" x14ac:dyDescent="0.2">
      <c r="B17" s="301" t="s">
        <v>50</v>
      </c>
      <c r="C17" s="327" t="e">
        <f>C5-C8+C7-C16</f>
        <v>#VALUE!</v>
      </c>
      <c r="D17" s="290"/>
      <c r="E17" s="303" t="s">
        <v>149</v>
      </c>
      <c r="F17" s="323">
        <v>56250</v>
      </c>
      <c r="G17" s="326"/>
      <c r="H17" s="290"/>
      <c r="I17" s="290"/>
      <c r="J17" s="290"/>
      <c r="K17" s="290"/>
    </row>
    <row r="18" spans="1:11" s="301" customFormat="1" x14ac:dyDescent="0.2">
      <c r="B18" s="301" t="s">
        <v>51</v>
      </c>
      <c r="C18" s="327" t="e">
        <f>C5</f>
        <v>#VALUE!</v>
      </c>
      <c r="D18" s="290"/>
      <c r="E18" s="304" t="s">
        <v>148</v>
      </c>
      <c r="F18" s="328">
        <v>7.4499999999999997E-2</v>
      </c>
      <c r="G18" s="326"/>
      <c r="H18" s="290"/>
      <c r="I18" s="290"/>
      <c r="J18" s="290"/>
      <c r="K18" s="290"/>
    </row>
    <row r="19" spans="1:11" s="301" customFormat="1" x14ac:dyDescent="0.2">
      <c r="C19" s="302"/>
      <c r="D19" s="290"/>
      <c r="E19" s="329" t="s">
        <v>147</v>
      </c>
      <c r="F19" s="330">
        <v>0.8</v>
      </c>
      <c r="G19" s="326"/>
      <c r="H19" s="290"/>
      <c r="I19" s="290"/>
      <c r="J19" s="290"/>
      <c r="K19" s="290"/>
    </row>
    <row r="20" spans="1:11" s="301" customFormat="1" x14ac:dyDescent="0.2">
      <c r="A20" s="317" t="s">
        <v>52</v>
      </c>
      <c r="B20" s="301" t="s">
        <v>50</v>
      </c>
      <c r="C20" s="302" t="e">
        <f>C17/100</f>
        <v>#VALUE!</v>
      </c>
      <c r="D20" s="290"/>
      <c r="E20" s="235" t="s">
        <v>146</v>
      </c>
      <c r="F20" s="331">
        <v>10898</v>
      </c>
      <c r="G20" s="326"/>
      <c r="H20" s="290"/>
      <c r="I20" s="290"/>
      <c r="J20" s="290"/>
      <c r="K20" s="290"/>
    </row>
    <row r="21" spans="1:11" s="301" customFormat="1" x14ac:dyDescent="0.2">
      <c r="B21" s="301" t="s">
        <v>51</v>
      </c>
      <c r="C21" s="302" t="e">
        <f>C18/100</f>
        <v>#VALUE!</v>
      </c>
      <c r="D21" s="290"/>
      <c r="E21" s="235" t="s">
        <v>145</v>
      </c>
      <c r="F21" s="331">
        <v>28526</v>
      </c>
      <c r="G21" s="326"/>
      <c r="H21" s="290"/>
      <c r="I21" s="290"/>
      <c r="J21" s="290"/>
      <c r="K21" s="290"/>
    </row>
    <row r="22" spans="1:11" s="301" customFormat="1" x14ac:dyDescent="0.2">
      <c r="C22" s="302"/>
      <c r="D22" s="290"/>
      <c r="E22" s="235" t="s">
        <v>144</v>
      </c>
      <c r="F22" s="331">
        <v>216400</v>
      </c>
      <c r="G22" s="326"/>
      <c r="H22" s="290"/>
      <c r="I22" s="290"/>
      <c r="J22" s="290"/>
      <c r="K22" s="290"/>
    </row>
    <row r="23" spans="1:11" x14ac:dyDescent="0.2">
      <c r="A23" s="332" t="s">
        <v>53</v>
      </c>
      <c r="B23" s="301" t="s">
        <v>54</v>
      </c>
      <c r="C23" s="302">
        <f>IF(C6=3,2,1)</f>
        <v>1</v>
      </c>
      <c r="E23" s="235" t="s">
        <v>143</v>
      </c>
      <c r="F23" s="331">
        <v>9408</v>
      </c>
      <c r="G23" s="326"/>
    </row>
    <row r="24" spans="1:11" ht="13.5" thickBot="1" x14ac:dyDescent="0.25">
      <c r="A24" s="333"/>
      <c r="B24" s="301" t="s">
        <v>55</v>
      </c>
      <c r="C24" s="327">
        <f>F25</f>
        <v>1000</v>
      </c>
      <c r="E24" s="334" t="s">
        <v>90</v>
      </c>
      <c r="F24" s="335">
        <v>972</v>
      </c>
      <c r="G24" s="336"/>
    </row>
    <row r="25" spans="1:11" ht="13.5" thickTop="1" x14ac:dyDescent="0.2">
      <c r="A25" s="333"/>
      <c r="B25" s="301" t="s">
        <v>56</v>
      </c>
      <c r="C25" s="302">
        <f>IF(C6=2,F26,0)</f>
        <v>0</v>
      </c>
      <c r="E25" s="304" t="s">
        <v>55</v>
      </c>
      <c r="F25" s="337">
        <v>1000</v>
      </c>
      <c r="G25" s="338" t="s">
        <v>53</v>
      </c>
    </row>
    <row r="26" spans="1:11" x14ac:dyDescent="0.2">
      <c r="A26" s="300"/>
      <c r="B26" s="301" t="s">
        <v>57</v>
      </c>
      <c r="C26" s="302">
        <f>IF(C6&gt;5,0,F27)</f>
        <v>36</v>
      </c>
      <c r="E26" s="304" t="s">
        <v>56</v>
      </c>
      <c r="F26" s="325">
        <v>1908</v>
      </c>
      <c r="G26" s="326"/>
    </row>
    <row r="27" spans="1:11" x14ac:dyDescent="0.2">
      <c r="A27" s="300"/>
      <c r="B27" s="301" t="s">
        <v>58</v>
      </c>
      <c r="C27" s="302">
        <f>IF(C6&lt;4,C2*F28,IF(C6=4,C2*F28/2,0))</f>
        <v>0</v>
      </c>
      <c r="E27" s="329" t="s">
        <v>57</v>
      </c>
      <c r="F27" s="339">
        <v>36</v>
      </c>
      <c r="G27" s="326"/>
    </row>
    <row r="28" spans="1:11" ht="13.5" thickBot="1" x14ac:dyDescent="0.25">
      <c r="A28" s="300"/>
      <c r="B28" s="301" t="s">
        <v>59</v>
      </c>
      <c r="C28" s="327">
        <f>IF(C6=6,0,C24+C25+C26)</f>
        <v>1036</v>
      </c>
      <c r="E28" s="340" t="s">
        <v>58</v>
      </c>
      <c r="F28" s="341">
        <v>7812</v>
      </c>
      <c r="G28" s="336"/>
    </row>
    <row r="29" spans="1:11" ht="13.5" thickTop="1" x14ac:dyDescent="0.2">
      <c r="A29" s="332" t="s">
        <v>60</v>
      </c>
      <c r="B29" s="301" t="s">
        <v>51</v>
      </c>
      <c r="C29" s="327" t="e">
        <f>MIN(C9,C21)</f>
        <v>#VALUE!</v>
      </c>
      <c r="E29" s="303" t="s">
        <v>142</v>
      </c>
      <c r="F29" s="342">
        <v>1900</v>
      </c>
      <c r="G29" s="343" t="s">
        <v>60</v>
      </c>
    </row>
    <row r="30" spans="1:11" ht="13.5" thickBot="1" x14ac:dyDescent="0.25">
      <c r="A30" s="300"/>
      <c r="B30" s="301" t="s">
        <v>61</v>
      </c>
      <c r="C30" s="344" t="e">
        <f>IF(C4=1,0,ROUNDDOWN(F19*C29*G5,2))</f>
        <v>#VALUE!</v>
      </c>
      <c r="E30" s="340" t="s">
        <v>142</v>
      </c>
      <c r="F30" s="341">
        <v>3000</v>
      </c>
      <c r="G30" s="336"/>
    </row>
    <row r="31" spans="1:11" ht="13.5" thickTop="1" x14ac:dyDescent="0.2">
      <c r="A31" s="300"/>
      <c r="B31" s="301" t="s">
        <v>62</v>
      </c>
      <c r="C31" s="344">
        <f>IF(C23=1,F29,F30)</f>
        <v>1900</v>
      </c>
      <c r="E31" s="345"/>
      <c r="F31" s="346">
        <v>0.42</v>
      </c>
      <c r="G31" s="324" t="s">
        <v>71</v>
      </c>
    </row>
    <row r="32" spans="1:11" ht="13.5" thickBot="1" x14ac:dyDescent="0.25">
      <c r="A32" s="300"/>
      <c r="B32" s="301" t="s">
        <v>63</v>
      </c>
      <c r="C32" s="344" t="e">
        <f>MIN(C31,ROUNDDOWN(0.12*C29,2))</f>
        <v>#VALUE!</v>
      </c>
      <c r="E32" s="336"/>
      <c r="F32" s="335">
        <v>0.45</v>
      </c>
      <c r="G32" s="336"/>
    </row>
    <row r="33" spans="1:7" ht="14.25" thickTop="1" thickBot="1" x14ac:dyDescent="0.25">
      <c r="A33" s="300"/>
      <c r="B33" s="347" t="e">
        <f>IF(Berechnung!P16=0,"KVSatz=0",(Berechnung!P16 + Berechnung!P17)/2 &amp; " % + PV")</f>
        <v>#VALUE!</v>
      </c>
      <c r="C33" s="348" t="e">
        <f>IF(Berechnung!P16=0,0,G4+C11)</f>
        <v>#VALUE!</v>
      </c>
      <c r="E33" s="336" t="s">
        <v>141</v>
      </c>
      <c r="F33" s="349">
        <v>5.5</v>
      </c>
      <c r="G33" s="350" t="s">
        <v>89</v>
      </c>
    </row>
    <row r="34" spans="1:7" ht="13.5" thickTop="1" x14ac:dyDescent="0.2">
      <c r="A34" s="300"/>
      <c r="B34" s="351" t="s">
        <v>64</v>
      </c>
      <c r="C34" s="352" t="e">
        <f>IF(C10&gt;0,IF(C6=6,0,C10),ROUNDDOWN(MIN(C21,F17)*C33*100,0)/100)</f>
        <v>#VALUE!</v>
      </c>
      <c r="E34" s="326"/>
      <c r="F34" s="368"/>
      <c r="G34" s="343"/>
    </row>
    <row r="35" spans="1:7" x14ac:dyDescent="0.2">
      <c r="A35" s="300"/>
      <c r="B35" s="301" t="s">
        <v>65</v>
      </c>
      <c r="C35" s="344" t="e">
        <f>IF(C34&gt;C31,C34,C32)</f>
        <v>#VALUE!</v>
      </c>
      <c r="D35" s="347"/>
      <c r="E35" s="326"/>
      <c r="F35" s="331">
        <v>14532</v>
      </c>
      <c r="G35" s="343" t="s">
        <v>140</v>
      </c>
    </row>
    <row r="36" spans="1:7" x14ac:dyDescent="0.2">
      <c r="A36" s="300"/>
      <c r="B36" s="301" t="s">
        <v>66</v>
      </c>
      <c r="C36" s="344" t="e">
        <f>ROUNDUP(C30+C35,0)</f>
        <v>#VALUE!</v>
      </c>
      <c r="E36" s="326"/>
      <c r="F36" s="331">
        <v>57051</v>
      </c>
      <c r="G36" s="326"/>
    </row>
    <row r="37" spans="1:7" x14ac:dyDescent="0.2">
      <c r="A37" s="332" t="s">
        <v>67</v>
      </c>
      <c r="B37" s="301" t="s">
        <v>68</v>
      </c>
      <c r="C37" s="327" t="e">
        <f>ROUNDDOWN(C20-C28-C36,0)</f>
        <v>#VALUE!</v>
      </c>
      <c r="E37" s="326"/>
      <c r="F37" s="331">
        <v>270501</v>
      </c>
      <c r="G37" s="326"/>
    </row>
    <row r="38" spans="1:7" x14ac:dyDescent="0.2">
      <c r="A38" s="332"/>
      <c r="B38" s="301" t="s">
        <v>69</v>
      </c>
      <c r="C38" s="327" t="e">
        <f>MAX(0,ROUNDDOWN(C37/C23,0))</f>
        <v>#VALUE!</v>
      </c>
      <c r="E38" s="326"/>
      <c r="F38" s="353">
        <v>212.02</v>
      </c>
      <c r="G38" s="326"/>
    </row>
    <row r="39" spans="1:7" x14ac:dyDescent="0.2">
      <c r="A39" s="332" t="s">
        <v>139</v>
      </c>
      <c r="B39" s="301" t="s">
        <v>70</v>
      </c>
      <c r="C39" s="327" t="e">
        <f>IF(C38&lt;=F23,0,IF(C38&lt;=F35,INT((F41*(C38-F23)/10000+F42)*(C38-F23)/10000),IF(C38&lt;=F36,INT((F38*(C38-F35)/10000+F39)*(C38-F35)/10000+F40),IF(C38&lt;F37,INT(C38*F31-F43),INT(C38*F32-F44)))))*C23</f>
        <v>#VALUE!</v>
      </c>
      <c r="E39" s="326"/>
      <c r="F39" s="331">
        <v>2397</v>
      </c>
      <c r="G39" s="326"/>
    </row>
    <row r="40" spans="1:7" x14ac:dyDescent="0.2">
      <c r="A40" s="332" t="s">
        <v>71</v>
      </c>
      <c r="B40" s="301" t="s">
        <v>72</v>
      </c>
      <c r="C40" s="344" t="e">
        <f>MIN(F21,C38)*1.25</f>
        <v>#VALUE!</v>
      </c>
      <c r="E40" s="326"/>
      <c r="F40" s="353">
        <v>972.79</v>
      </c>
      <c r="G40" s="326"/>
    </row>
    <row r="41" spans="1:7" x14ac:dyDescent="0.2">
      <c r="A41" s="300"/>
      <c r="B41" s="301" t="s">
        <v>73</v>
      </c>
      <c r="C41" s="327" t="e">
        <f>IF(C40&lt;=F23,0,IF(C40&lt;=F35,INT((F41*(C40-F23)/10000+F42)*(C40-F23)/10000),IF(C40&lt;=F36,INT((F38*(C40-F35)/10000+F39)*(C40-F35)/10000+F40),IF(C40&lt;=F37,INT(C40*F31-F43),INT(C40*F32-F44)))))</f>
        <v>#VALUE!</v>
      </c>
      <c r="E41" s="326"/>
      <c r="F41" s="353">
        <v>972.87</v>
      </c>
      <c r="G41" s="326"/>
    </row>
    <row r="42" spans="1:7" x14ac:dyDescent="0.2">
      <c r="A42" s="300"/>
      <c r="B42" s="301" t="s">
        <v>72</v>
      </c>
      <c r="C42" s="327" t="e">
        <f>MIN(F21,C38)*0.75</f>
        <v>#VALUE!</v>
      </c>
      <c r="E42" s="326"/>
      <c r="F42" s="331">
        <v>1400</v>
      </c>
      <c r="G42" s="326"/>
    </row>
    <row r="43" spans="1:7" x14ac:dyDescent="0.2">
      <c r="A43" s="300"/>
      <c r="B43" s="301" t="s">
        <v>74</v>
      </c>
      <c r="C43" s="302" t="e">
        <f>IF(C42&lt;=F23,0,IF(C42&lt;=F35,INT((F41*(C42-F23)/10000+F42)*(C42-F23)/10000),IF(C42&lt;F36,INT((F38*(C42-F35)/10000+F39)*(C42-F35)/10000+F40),IF(C42&lt;F37,INT(C42*F31-F43),INT(C42*F32-F44)))))</f>
        <v>#VALUE!</v>
      </c>
      <c r="E43" s="326"/>
      <c r="F43" s="353">
        <v>8963.74</v>
      </c>
      <c r="G43" s="326"/>
    </row>
    <row r="44" spans="1:7" x14ac:dyDescent="0.2">
      <c r="A44" s="300"/>
      <c r="B44" s="301" t="s">
        <v>75</v>
      </c>
      <c r="C44" s="327" t="e">
        <f>(C41-C43)*2</f>
        <v>#VALUE!</v>
      </c>
      <c r="E44" s="354"/>
      <c r="F44" s="353">
        <v>17078.740000000002</v>
      </c>
      <c r="G44" s="354"/>
    </row>
    <row r="45" spans="1:7" x14ac:dyDescent="0.2">
      <c r="A45" s="300"/>
      <c r="B45" s="301" t="s">
        <v>76</v>
      </c>
      <c r="C45" s="327" t="e">
        <f>ROUNDDOWN(MIN(C38,F21)*0.14,0)</f>
        <v>#VALUE!</v>
      </c>
    </row>
    <row r="46" spans="1:7" x14ac:dyDescent="0.2">
      <c r="A46" s="300"/>
      <c r="B46" s="301" t="s">
        <v>70</v>
      </c>
      <c r="C46" s="327" t="e">
        <f>MAX(C44,C45)</f>
        <v>#VALUE!</v>
      </c>
    </row>
    <row r="47" spans="1:7" x14ac:dyDescent="0.2">
      <c r="A47" s="300"/>
      <c r="B47" s="301" t="s">
        <v>70</v>
      </c>
      <c r="C47" s="327" t="e">
        <f>IF(C38&gt;F22,(F22 - F21)*F31 + C46,ROUNDDOWN(MAX(C38-F21,0)*F31+C46,0))</f>
        <v>#VALUE!</v>
      </c>
    </row>
    <row r="48" spans="1:7" x14ac:dyDescent="0.2">
      <c r="A48" s="300"/>
      <c r="B48" s="301" t="s">
        <v>77</v>
      </c>
      <c r="C48" s="327" t="e">
        <f>IF(AND(C38&gt;F20,C38&lt;=F21),C46,0)</f>
        <v>#VALUE!</v>
      </c>
    </row>
    <row r="49" spans="1:3" x14ac:dyDescent="0.2">
      <c r="A49" s="300"/>
      <c r="B49" s="301" t="s">
        <v>70</v>
      </c>
      <c r="C49" s="327">
        <f>ROUNDDOWN(F20*0.14,0)</f>
        <v>1525</v>
      </c>
    </row>
    <row r="50" spans="1:3" x14ac:dyDescent="0.2">
      <c r="A50" s="300"/>
      <c r="B50" s="301" t="s">
        <v>70</v>
      </c>
      <c r="C50" s="327" t="e">
        <f xml:space="preserve"> MIN(ROUNDDOWN(MAX(C38-F20,0)*F31+C49,0),C47)</f>
        <v>#VALUE!</v>
      </c>
    </row>
    <row r="51" spans="1:3" x14ac:dyDescent="0.2">
      <c r="A51" s="300"/>
      <c r="B51" s="301" t="s">
        <v>78</v>
      </c>
      <c r="C51" s="327" t="e">
        <f>ROUNDDOWN(MAX(C38-F22,0)*F32+C50,0)</f>
        <v>#VALUE!</v>
      </c>
    </row>
    <row r="52" spans="1:3" x14ac:dyDescent="0.2">
      <c r="A52" s="300"/>
      <c r="B52" s="301" t="s">
        <v>79</v>
      </c>
      <c r="C52" s="327" t="e">
        <f>ROUNDDOWN(IF(C6&lt;5,C39,C51)*C12,0)</f>
        <v>#VALUE!</v>
      </c>
    </row>
    <row r="53" spans="1:3" x14ac:dyDescent="0.2">
      <c r="A53" s="300"/>
      <c r="B53" s="301" t="s">
        <v>81</v>
      </c>
      <c r="C53" s="327" t="e">
        <f>C52*100</f>
        <v>#VALUE!</v>
      </c>
    </row>
    <row r="54" spans="1:3" x14ac:dyDescent="0.2">
      <c r="A54" s="332" t="s">
        <v>84</v>
      </c>
      <c r="B54" s="301" t="s">
        <v>85</v>
      </c>
      <c r="C54" s="327" t="e">
        <f>IF(C3=1,C53,IF(C3=2,ROUNDDOWN(C53/12,0),IF(C3=3,ROUNDDOWN((C53*7)/360,0),ROUNDDOWN(C53/360,0))))</f>
        <v>#VALUE!</v>
      </c>
    </row>
    <row r="55" spans="1:3" x14ac:dyDescent="0.2">
      <c r="A55" s="300"/>
      <c r="B55" s="301" t="s">
        <v>59</v>
      </c>
      <c r="C55" s="327">
        <f>C27+C28</f>
        <v>1036</v>
      </c>
    </row>
    <row r="56" spans="1:3" x14ac:dyDescent="0.2">
      <c r="A56" s="300"/>
      <c r="B56" s="301" t="s">
        <v>68</v>
      </c>
      <c r="C56" s="327" t="e">
        <f>C20-C36-C55</f>
        <v>#VALUE!</v>
      </c>
    </row>
    <row r="57" spans="1:3" x14ac:dyDescent="0.2">
      <c r="A57" s="300"/>
      <c r="B57" s="301" t="s">
        <v>86</v>
      </c>
      <c r="C57" s="327" t="e">
        <f>IF(C56&lt;36,0,ROUNDDOWN(C56/C23,0))</f>
        <v>#VALUE!</v>
      </c>
    </row>
    <row r="58" spans="1:3" x14ac:dyDescent="0.2">
      <c r="A58" s="300"/>
      <c r="B58" s="301" t="s">
        <v>70</v>
      </c>
      <c r="C58" s="327" t="e">
        <f>IF(C57&lt;=F23,0,IF(C57&lt;=F35,INT((F41*(C57-F23)/10000+F42)*(C57-F23)/10000),IF(C57&lt;=F36,INT((F38*(C57-F35)/10000+F39)*(C57-F35)/10000+F40),IF(C57&lt;F37,INT(C57*F31-F43),INT(C57*F32-F44)))))*C23</f>
        <v>#VALUE!</v>
      </c>
    </row>
    <row r="59" spans="1:3" x14ac:dyDescent="0.2">
      <c r="A59" s="300"/>
      <c r="B59" s="301" t="s">
        <v>87</v>
      </c>
      <c r="C59" s="327" t="e">
        <f>IF(C2&gt;0,ROUNDDOWN(C58*C12,0),C52)</f>
        <v>#VALUE!</v>
      </c>
    </row>
    <row r="60" spans="1:3" x14ac:dyDescent="0.2">
      <c r="A60" s="332" t="s">
        <v>89</v>
      </c>
      <c r="B60" s="301" t="s">
        <v>90</v>
      </c>
      <c r="C60" s="302">
        <f>(F24)*C23</f>
        <v>972</v>
      </c>
    </row>
    <row r="61" spans="1:3" x14ac:dyDescent="0.2">
      <c r="A61" s="300"/>
      <c r="B61" s="301" t="s">
        <v>91</v>
      </c>
      <c r="C61" s="316" t="e">
        <f>ROUNDDOWN((C59*5.5)/100,2)</f>
        <v>#VALUE!</v>
      </c>
    </row>
    <row r="62" spans="1:3" x14ac:dyDescent="0.2">
      <c r="A62" s="300"/>
      <c r="B62" s="301" t="s">
        <v>92</v>
      </c>
      <c r="C62" s="316" t="e">
        <f>((C59-C60)*20)/100</f>
        <v>#VALUE!</v>
      </c>
    </row>
    <row r="63" spans="1:3" x14ac:dyDescent="0.2">
      <c r="A63" s="300"/>
      <c r="B63" s="301" t="s">
        <v>91</v>
      </c>
      <c r="C63" s="316" t="e">
        <f>MIN(C62,C61)</f>
        <v>#VALUE!</v>
      </c>
    </row>
    <row r="64" spans="1:3" x14ac:dyDescent="0.2">
      <c r="A64" s="300"/>
      <c r="B64" s="301" t="s">
        <v>81</v>
      </c>
      <c r="C64" s="302" t="e">
        <f>C63*100</f>
        <v>#VALUE!</v>
      </c>
    </row>
    <row r="65" spans="1:3" x14ac:dyDescent="0.2">
      <c r="A65" s="332" t="s">
        <v>93</v>
      </c>
      <c r="B65" s="301" t="s">
        <v>94</v>
      </c>
      <c r="C65" s="327" t="e">
        <f>ROUNDDOWN(IF(C3=1,C64,IF(C3=2,C64/12,IF(C3=3,(C64*7)/360,C64/360))),0)</f>
        <v>#VALUE!</v>
      </c>
    </row>
    <row r="66" spans="1:3" x14ac:dyDescent="0.2">
      <c r="A66" s="300"/>
      <c r="B66" s="301" t="s">
        <v>95</v>
      </c>
      <c r="C66" s="327" t="e">
        <f>IF(C59&gt;C60,C65,0)</f>
        <v>#VALUE!</v>
      </c>
    </row>
    <row r="67" spans="1:3" x14ac:dyDescent="0.2">
      <c r="A67" s="300"/>
      <c r="B67" s="301" t="s">
        <v>81</v>
      </c>
      <c r="C67" s="327" t="e">
        <f>C59*100</f>
        <v>#VALUE!</v>
      </c>
    </row>
    <row r="68" spans="1:3" x14ac:dyDescent="0.2">
      <c r="A68" s="355" t="s">
        <v>96</v>
      </c>
      <c r="B68" s="356" t="s">
        <v>96</v>
      </c>
      <c r="C68" s="357" t="e">
        <f>ROUNDDOWN(IF(C3=1,C67,IF(C3=2,C67/12,IF(C3=3,(C67*7)/360,C67/360))),0)</f>
        <v>#VALUE!</v>
      </c>
    </row>
    <row r="69" spans="1:3" x14ac:dyDescent="0.2">
      <c r="A69" s="355" t="s">
        <v>138</v>
      </c>
      <c r="B69" s="356" t="s">
        <v>137</v>
      </c>
      <c r="C69" s="358">
        <f>IF(C3=1,12,IF(C3=2,1,IF(C3=3,84/360,12/360)))</f>
        <v>12</v>
      </c>
    </row>
  </sheetData>
  <pageMargins left="0.78740157499999996" right="0.78740157499999996" top="0.984251969" bottom="0.984251969" header="0.5" footer="0.5"/>
  <pageSetup paperSize="9"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/>
  <dimension ref="A2:O92"/>
  <sheetViews>
    <sheetView workbookViewId="0">
      <selection activeCell="S20" sqref="S20"/>
    </sheetView>
  </sheetViews>
  <sheetFormatPr baseColWidth="10" defaultColWidth="11.42578125" defaultRowHeight="12.75" x14ac:dyDescent="0.2"/>
  <cols>
    <col min="1" max="1" width="12" style="3" customWidth="1"/>
    <col min="2" max="2" width="14" style="3" customWidth="1"/>
    <col min="3" max="3" width="11.42578125" style="3" customWidth="1"/>
    <col min="4" max="4" width="13.140625" style="3" hidden="1" customWidth="1"/>
    <col min="5" max="5" width="11.42578125" style="3" customWidth="1"/>
    <col min="6" max="7" width="11.42578125" style="3" hidden="1" customWidth="1"/>
    <col min="8" max="8" width="12" style="3" hidden="1" customWidth="1"/>
    <col min="9" max="9" width="14" style="104" hidden="1" customWidth="1"/>
    <col min="10" max="10" width="0" style="3" hidden="1" customWidth="1"/>
    <col min="11" max="11" width="13.140625" style="3" hidden="1" customWidth="1"/>
    <col min="12" max="16" width="0" style="3" hidden="1" customWidth="1"/>
    <col min="17" max="16384" width="11.42578125" style="3"/>
  </cols>
  <sheetData>
    <row r="2" spans="1:15" x14ac:dyDescent="0.2">
      <c r="A2" s="50" t="s">
        <v>134</v>
      </c>
      <c r="B2" s="50"/>
      <c r="D2" s="51"/>
      <c r="E2"/>
      <c r="F2"/>
      <c r="G2"/>
      <c r="H2" s="50" t="s">
        <v>134</v>
      </c>
      <c r="I2" s="102"/>
      <c r="K2" s="51"/>
      <c r="L2"/>
      <c r="M2"/>
      <c r="N2"/>
      <c r="O2"/>
    </row>
    <row r="3" spans="1:15" x14ac:dyDescent="0.2">
      <c r="A3" s="3" t="s">
        <v>29</v>
      </c>
      <c r="B3" s="63">
        <f>Berechnung!R22</f>
        <v>0</v>
      </c>
      <c r="D3" s="52" t="s">
        <v>30</v>
      </c>
      <c r="H3" s="3" t="s">
        <v>29</v>
      </c>
      <c r="I3" s="103">
        <v>0</v>
      </c>
      <c r="K3" s="52" t="s">
        <v>30</v>
      </c>
    </row>
    <row r="4" spans="1:15" x14ac:dyDescent="0.2">
      <c r="A4" s="3" t="s">
        <v>31</v>
      </c>
      <c r="B4" s="3">
        <f>IF(Berechnung!R11&gt;4,0,Berechnung!R14)</f>
        <v>0</v>
      </c>
      <c r="D4" s="52" t="s">
        <v>32</v>
      </c>
      <c r="E4"/>
      <c r="F4"/>
      <c r="G4"/>
      <c r="H4" s="3" t="s">
        <v>31</v>
      </c>
      <c r="I4" s="104">
        <v>0</v>
      </c>
      <c r="K4" s="52" t="s">
        <v>32</v>
      </c>
      <c r="L4"/>
      <c r="M4"/>
      <c r="N4"/>
      <c r="O4"/>
    </row>
    <row r="5" spans="1:15" x14ac:dyDescent="0.2">
      <c r="A5" s="3" t="s">
        <v>33</v>
      </c>
      <c r="B5" s="3">
        <f>Berechnung!R9</f>
        <v>1</v>
      </c>
      <c r="D5"/>
      <c r="E5"/>
      <c r="F5"/>
      <c r="G5"/>
      <c r="H5" s="3" t="s">
        <v>33</v>
      </c>
      <c r="I5" s="104">
        <v>2</v>
      </c>
      <c r="K5"/>
      <c r="L5"/>
      <c r="M5"/>
      <c r="N5"/>
      <c r="O5"/>
    </row>
    <row r="6" spans="1:15" x14ac:dyDescent="0.2">
      <c r="A6" s="3" t="s">
        <v>34</v>
      </c>
      <c r="B6" s="3">
        <f>Berechnung!R13</f>
        <v>0</v>
      </c>
      <c r="D6"/>
      <c r="E6"/>
      <c r="F6"/>
      <c r="G6"/>
      <c r="H6" s="3" t="s">
        <v>34</v>
      </c>
      <c r="I6" s="104">
        <v>0</v>
      </c>
      <c r="K6"/>
      <c r="L6"/>
      <c r="M6"/>
      <c r="N6"/>
      <c r="O6"/>
    </row>
    <row r="7" spans="1:15" x14ac:dyDescent="0.2">
      <c r="A7" s="3" t="s">
        <v>35</v>
      </c>
      <c r="B7" s="53" t="e">
        <f>ROUNDDOWN(IF(B5=1,Berechnung!R8*100,IF(B5=2,(Berechnung!R8*100)*12,IF(B5=3,((Berechnung!R8*100)*360)/7,(Berechnung!R8*100)*360))),2)</f>
        <v>#VALUE!</v>
      </c>
      <c r="D7"/>
      <c r="E7"/>
      <c r="F7"/>
      <c r="G7"/>
      <c r="H7" s="3" t="s">
        <v>35</v>
      </c>
      <c r="I7" s="105">
        <v>4200000</v>
      </c>
      <c r="K7"/>
      <c r="L7"/>
      <c r="M7"/>
      <c r="N7"/>
      <c r="O7"/>
    </row>
    <row r="8" spans="1:15" x14ac:dyDescent="0.2">
      <c r="A8" s="3" t="s">
        <v>36</v>
      </c>
      <c r="B8" s="54">
        <f>Berechnung!R11</f>
        <v>1</v>
      </c>
      <c r="D8"/>
      <c r="E8"/>
      <c r="F8"/>
      <c r="G8"/>
      <c r="H8" s="3" t="s">
        <v>36</v>
      </c>
      <c r="I8" s="106">
        <v>1</v>
      </c>
      <c r="K8"/>
      <c r="L8"/>
      <c r="M8"/>
      <c r="N8"/>
      <c r="O8"/>
    </row>
    <row r="9" spans="1:15" x14ac:dyDescent="0.2">
      <c r="A9" s="3" t="s">
        <v>37</v>
      </c>
      <c r="B9" s="55">
        <f>Berechnung!R24*100</f>
        <v>0</v>
      </c>
      <c r="C9" s="3" t="s">
        <v>38</v>
      </c>
      <c r="D9"/>
      <c r="E9"/>
      <c r="F9"/>
      <c r="G9"/>
      <c r="H9" s="3" t="s">
        <v>37</v>
      </c>
      <c r="I9" s="107">
        <v>0</v>
      </c>
      <c r="J9" s="3" t="s">
        <v>38</v>
      </c>
      <c r="K9"/>
      <c r="L9"/>
      <c r="M9"/>
      <c r="N9"/>
      <c r="O9"/>
    </row>
    <row r="10" spans="1:15" x14ac:dyDescent="0.2">
      <c r="A10" s="3" t="s">
        <v>39</v>
      </c>
      <c r="B10" s="56">
        <f>IF(B8=6,0,Berechnung!R23*100)</f>
        <v>0</v>
      </c>
      <c r="D10"/>
      <c r="E10"/>
      <c r="F10"/>
      <c r="G10"/>
      <c r="H10" s="3" t="s">
        <v>39</v>
      </c>
      <c r="I10" s="108">
        <v>0</v>
      </c>
      <c r="K10"/>
      <c r="L10"/>
      <c r="M10"/>
      <c r="N10"/>
      <c r="O10"/>
    </row>
    <row r="11" spans="1:15" x14ac:dyDescent="0.2">
      <c r="A11" s="3" t="s">
        <v>40</v>
      </c>
      <c r="B11" s="56">
        <f>IF(Berechnung!R20=0,72600,62400)</f>
        <v>72600</v>
      </c>
      <c r="D11" s="3" t="s">
        <v>41</v>
      </c>
      <c r="E11"/>
      <c r="F11"/>
      <c r="G11"/>
      <c r="H11" s="61" t="s">
        <v>135</v>
      </c>
      <c r="I11" s="109">
        <v>72600</v>
      </c>
      <c r="L11"/>
      <c r="M11"/>
      <c r="N11"/>
      <c r="O11"/>
    </row>
    <row r="12" spans="1:15" x14ac:dyDescent="0.2">
      <c r="A12" s="3" t="s">
        <v>42</v>
      </c>
      <c r="B12" s="57" t="e">
        <f>IF(Berechnung!R17&gt;20,ROUNDDOWN(IF(B5=1,Berechnung!R17*100,IF(B5=2,(Berechnung!R17*100)*12,IF(B5=3,((Berechnung!R17*100)*360)/7,(Berechnung!R17*100)*360)))/100,2),0)</f>
        <v>#VALUE!</v>
      </c>
      <c r="D12"/>
      <c r="E12"/>
      <c r="F12"/>
      <c r="G12"/>
      <c r="H12" s="3" t="s">
        <v>42</v>
      </c>
      <c r="I12" s="110">
        <v>0</v>
      </c>
      <c r="K12"/>
      <c r="L12"/>
      <c r="M12"/>
      <c r="N12"/>
      <c r="O12"/>
    </row>
    <row r="13" spans="1:15" x14ac:dyDescent="0.2">
      <c r="A13" s="3" t="s">
        <v>43</v>
      </c>
      <c r="B13" s="58">
        <f>IF(Berechnung!R21=0,0.01175,0.01675)+IF(AND(Berechnung!R19=1,Berechnung!R14=0),0.0025,0)</f>
        <v>1.175E-2</v>
      </c>
      <c r="D13"/>
      <c r="E13"/>
      <c r="F13"/>
      <c r="G13"/>
      <c r="H13" s="3" t="s">
        <v>43</v>
      </c>
      <c r="I13" s="113">
        <v>1.175E-2</v>
      </c>
      <c r="K13"/>
      <c r="L13"/>
      <c r="M13"/>
      <c r="N13"/>
      <c r="O13"/>
    </row>
    <row r="14" spans="1:15" x14ac:dyDescent="0.2">
      <c r="A14" s="3" t="s">
        <v>44</v>
      </c>
      <c r="B14" s="63">
        <f>IF(OR(OR(Berechnung!R12=0,Berechnung!R12&gt;1),Berechnung!R11&lt;&gt;4),1,Berechnung!R12)</f>
        <v>1</v>
      </c>
      <c r="D14"/>
      <c r="E14"/>
      <c r="F14"/>
      <c r="G14"/>
      <c r="H14" s="3" t="s">
        <v>44</v>
      </c>
      <c r="I14" s="103">
        <v>1</v>
      </c>
      <c r="K14"/>
      <c r="L14"/>
      <c r="M14"/>
      <c r="N14"/>
      <c r="O14"/>
    </row>
    <row r="15" spans="1:15" x14ac:dyDescent="0.2">
      <c r="A15" s="59" t="s">
        <v>45</v>
      </c>
      <c r="B15" s="60"/>
      <c r="D15"/>
      <c r="E15"/>
      <c r="F15"/>
      <c r="G15"/>
      <c r="H15" s="59" t="s">
        <v>45</v>
      </c>
      <c r="I15" s="111"/>
      <c r="K15"/>
      <c r="L15"/>
      <c r="M15"/>
      <c r="N15"/>
      <c r="O15"/>
    </row>
    <row r="16" spans="1:15" x14ac:dyDescent="0.2">
      <c r="A16" s="61" t="s">
        <v>46</v>
      </c>
      <c r="B16" s="115">
        <f>IF(B3=1,0.4,IF(B3=2,0.384,IF(B3=3,0.368,IF(B3=4,0.352,IF(B3=5,0.336,IF(B3=6,0.32,IF(B3=7,0.304,IF(B3=8,0.288,0)))))))) + IF(B3=9,0.272,IF(B3=10,0.256,IF(B3=11,0.24,0)))</f>
        <v>0</v>
      </c>
      <c r="D16"/>
      <c r="E16"/>
      <c r="F16"/>
      <c r="G16"/>
      <c r="H16" s="61" t="s">
        <v>46</v>
      </c>
      <c r="I16" s="114">
        <f>IF(I3=1,0.4,IF(I3=2,0.384,IF(I3=3,0.368,IF(I3=4,0.352,IF(I3=5,0.336,IF(I3=6,0.32,IF(I3=7,0.304,IF(I3=8,0.288,0)))))))) + IF(I3=9,0.272,IF(I3=10,0.256,IF(I3=11,0.24,0)))</f>
        <v>0</v>
      </c>
      <c r="K16"/>
      <c r="L16"/>
      <c r="M16"/>
      <c r="N16"/>
      <c r="O16"/>
    </row>
    <row r="17" spans="1:15" x14ac:dyDescent="0.2">
      <c r="A17" s="3" t="s">
        <v>47</v>
      </c>
      <c r="B17" s="13">
        <f>IF(B3=1,190000,IF(B3=2,182400,IF(B3=3,174800,IF(B3=4,167200,IF(B3=5,159600,IF(B3=6,152000,IF(B3=7,144400,IF(B3=8,136800,0))))))))+IF(B3=9,129200,IF(B3=10,121600,IF(B3=11,114000,0)))</f>
        <v>0</v>
      </c>
      <c r="D17"/>
      <c r="E17"/>
      <c r="F17"/>
      <c r="G17"/>
      <c r="H17" s="3" t="s">
        <v>47</v>
      </c>
      <c r="I17" s="104">
        <f>IF(I3=1,190000,IF(I3=2,182400,IF(I3=3,174800,IF(I3=4,167200,IF(I3=5,159600,IF(I3=6,152000,IF(I3=7,144400,IF(I3=8,136800,0))))))))+IF(I3=9,129200,IF(I3=10,121600,IF(I3=11,114000,0)))</f>
        <v>0</v>
      </c>
      <c r="K17"/>
      <c r="L17"/>
      <c r="M17"/>
      <c r="N17"/>
      <c r="O17"/>
    </row>
    <row r="18" spans="1:15" x14ac:dyDescent="0.2">
      <c r="A18" s="3" t="s">
        <v>48</v>
      </c>
      <c r="B18" s="56">
        <f xml:space="preserve"> B17</f>
        <v>0</v>
      </c>
      <c r="D18"/>
      <c r="E18"/>
      <c r="F18"/>
      <c r="G18"/>
      <c r="H18" s="3" t="s">
        <v>48</v>
      </c>
      <c r="I18" s="108">
        <f xml:space="preserve"> I17</f>
        <v>0</v>
      </c>
      <c r="K18"/>
      <c r="L18"/>
      <c r="M18"/>
      <c r="N18"/>
      <c r="O18"/>
    </row>
    <row r="19" spans="1:15" x14ac:dyDescent="0.2">
      <c r="A19" s="3" t="s">
        <v>49</v>
      </c>
      <c r="B19" s="13">
        <f>IF(B3=0,0,IF((B7*B16)&gt;B18,B18,B7*B16))</f>
        <v>0</v>
      </c>
      <c r="D19"/>
      <c r="E19"/>
      <c r="F19"/>
      <c r="G19"/>
      <c r="H19" s="3" t="s">
        <v>49</v>
      </c>
      <c r="I19" s="104">
        <f>IF(I3=0,0,IF((I7*I16)&gt;I18,I18,I7*I16))</f>
        <v>0</v>
      </c>
      <c r="K19"/>
      <c r="L19"/>
      <c r="M19"/>
      <c r="N19"/>
      <c r="O19"/>
    </row>
    <row r="20" spans="1:15" x14ac:dyDescent="0.2">
      <c r="A20" s="3" t="s">
        <v>50</v>
      </c>
      <c r="B20" s="56" t="e">
        <f>B7-B9+B10-B19</f>
        <v>#VALUE!</v>
      </c>
      <c r="D20"/>
      <c r="E20"/>
      <c r="F20" t="str">
        <f>Berechnung!R17</f>
        <v/>
      </c>
      <c r="G20"/>
      <c r="H20" s="3" t="s">
        <v>50</v>
      </c>
      <c r="I20" s="108">
        <f>I7-I9+I10-I19</f>
        <v>4200000</v>
      </c>
      <c r="K20"/>
      <c r="L20"/>
      <c r="M20"/>
      <c r="N20"/>
      <c r="O20"/>
    </row>
    <row r="21" spans="1:15" x14ac:dyDescent="0.2">
      <c r="A21" s="3" t="s">
        <v>51</v>
      </c>
      <c r="B21" s="56" t="e">
        <f>B7</f>
        <v>#VALUE!</v>
      </c>
      <c r="D21"/>
      <c r="E21"/>
      <c r="F21"/>
      <c r="G21"/>
      <c r="H21" s="3" t="s">
        <v>51</v>
      </c>
      <c r="I21" s="108">
        <f>I7</f>
        <v>4200000</v>
      </c>
      <c r="K21"/>
      <c r="L21"/>
      <c r="M21"/>
      <c r="N21"/>
      <c r="O21"/>
    </row>
    <row r="22" spans="1:15" x14ac:dyDescent="0.2">
      <c r="D22"/>
      <c r="E22"/>
      <c r="F22"/>
      <c r="G22"/>
      <c r="K22"/>
      <c r="L22"/>
      <c r="M22"/>
      <c r="N22"/>
      <c r="O22"/>
    </row>
    <row r="23" spans="1:15" x14ac:dyDescent="0.2">
      <c r="A23" s="59" t="s">
        <v>52</v>
      </c>
      <c r="B23" s="60"/>
      <c r="D23"/>
      <c r="E23"/>
      <c r="F23"/>
      <c r="G23"/>
      <c r="H23" s="59" t="s">
        <v>52</v>
      </c>
      <c r="I23" s="111"/>
      <c r="K23"/>
      <c r="L23"/>
      <c r="M23"/>
      <c r="N23"/>
      <c r="O23"/>
    </row>
    <row r="24" spans="1:15" x14ac:dyDescent="0.2">
      <c r="A24" s="3" t="s">
        <v>50</v>
      </c>
      <c r="B24" s="116" t="e">
        <f>B20/100</f>
        <v>#VALUE!</v>
      </c>
      <c r="D24"/>
      <c r="E24"/>
      <c r="F24"/>
      <c r="G24"/>
      <c r="H24" s="3" t="s">
        <v>50</v>
      </c>
      <c r="I24" s="103">
        <f>I20/100</f>
        <v>42000</v>
      </c>
      <c r="K24"/>
      <c r="L24"/>
      <c r="M24"/>
      <c r="N24"/>
      <c r="O24"/>
    </row>
    <row r="25" spans="1:15" x14ac:dyDescent="0.2">
      <c r="A25" s="3" t="s">
        <v>51</v>
      </c>
      <c r="B25" s="116" t="e">
        <f>B21/100</f>
        <v>#VALUE!</v>
      </c>
      <c r="D25"/>
      <c r="E25"/>
      <c r="F25"/>
      <c r="G25"/>
      <c r="H25" s="3" t="s">
        <v>51</v>
      </c>
      <c r="I25" s="103">
        <f>I21/100</f>
        <v>42000</v>
      </c>
      <c r="K25"/>
      <c r="L25"/>
      <c r="M25"/>
      <c r="N25"/>
      <c r="O25"/>
    </row>
    <row r="26" spans="1:15" x14ac:dyDescent="0.2">
      <c r="B26" s="63"/>
      <c r="D26"/>
      <c r="E26"/>
      <c r="F26"/>
      <c r="G26"/>
      <c r="I26" s="103"/>
      <c r="K26"/>
      <c r="L26"/>
      <c r="M26"/>
      <c r="N26"/>
      <c r="O26"/>
    </row>
    <row r="27" spans="1:15" x14ac:dyDescent="0.2">
      <c r="A27" s="59" t="s">
        <v>53</v>
      </c>
      <c r="B27" s="60"/>
      <c r="D27"/>
      <c r="E27"/>
      <c r="F27"/>
      <c r="G27"/>
      <c r="H27" s="59" t="s">
        <v>53</v>
      </c>
      <c r="I27" s="111"/>
      <c r="K27"/>
      <c r="L27"/>
      <c r="M27"/>
      <c r="N27"/>
      <c r="O27"/>
    </row>
    <row r="28" spans="1:15" x14ac:dyDescent="0.2">
      <c r="A28" s="3" t="s">
        <v>54</v>
      </c>
      <c r="B28" s="13">
        <f>IF(B8=3,2,1)</f>
        <v>1</v>
      </c>
      <c r="D28"/>
      <c r="E28"/>
      <c r="F28"/>
      <c r="G28"/>
      <c r="H28" s="3" t="s">
        <v>54</v>
      </c>
      <c r="I28" s="104">
        <f>IF(I8=3,2,1)</f>
        <v>1</v>
      </c>
      <c r="K28"/>
      <c r="L28"/>
      <c r="M28"/>
      <c r="N28"/>
      <c r="O28"/>
    </row>
    <row r="29" spans="1:15" x14ac:dyDescent="0.2">
      <c r="A29" s="3" t="s">
        <v>55</v>
      </c>
      <c r="B29" s="13">
        <v>1000</v>
      </c>
      <c r="H29" s="3" t="s">
        <v>55</v>
      </c>
      <c r="I29" s="104">
        <v>1000</v>
      </c>
    </row>
    <row r="30" spans="1:15" x14ac:dyDescent="0.2">
      <c r="A30" s="3" t="s">
        <v>56</v>
      </c>
      <c r="B30" s="13">
        <f>IF(B8=2,1308,0)</f>
        <v>0</v>
      </c>
      <c r="H30" s="3" t="s">
        <v>56</v>
      </c>
      <c r="I30" s="104">
        <f>IF(I8=2,1308,0)</f>
        <v>0</v>
      </c>
    </row>
    <row r="31" spans="1:15" x14ac:dyDescent="0.2">
      <c r="A31" s="3" t="s">
        <v>57</v>
      </c>
      <c r="B31" s="13">
        <f>IF(B8&gt;5,0,36)</f>
        <v>36</v>
      </c>
      <c r="H31" s="3" t="s">
        <v>57</v>
      </c>
      <c r="I31" s="104">
        <f>IF(I8&gt;5,0,36)</f>
        <v>36</v>
      </c>
    </row>
    <row r="32" spans="1:15" x14ac:dyDescent="0.2">
      <c r="A32" s="3" t="s">
        <v>58</v>
      </c>
      <c r="B32" s="13">
        <f>IF(B8&lt;4,B4*7008,IF(B8=4,B4*3504,0))</f>
        <v>0</v>
      </c>
      <c r="H32" s="3" t="s">
        <v>58</v>
      </c>
      <c r="I32" s="104">
        <f>IF(I8&lt;4,I4*7008,IF(I8=4,I4*3504,0))</f>
        <v>0</v>
      </c>
    </row>
    <row r="33" spans="1:11" x14ac:dyDescent="0.2">
      <c r="A33" s="3" t="s">
        <v>59</v>
      </c>
      <c r="B33" s="13">
        <f>IF(B8=6,0,B29+B30+B31)</f>
        <v>1036</v>
      </c>
      <c r="C33" s="64"/>
      <c r="H33" s="3" t="s">
        <v>59</v>
      </c>
      <c r="I33" s="104">
        <f>IF(I8=6,0,I29+I30+I31)</f>
        <v>1036</v>
      </c>
      <c r="J33" s="64"/>
    </row>
    <row r="35" spans="1:11" x14ac:dyDescent="0.2">
      <c r="A35" s="59" t="s">
        <v>60</v>
      </c>
      <c r="B35" s="65"/>
      <c r="H35" s="59" t="s">
        <v>60</v>
      </c>
      <c r="I35" s="112"/>
    </row>
    <row r="36" spans="1:11" x14ac:dyDescent="0.2">
      <c r="A36" s="3" t="s">
        <v>51</v>
      </c>
      <c r="B36" s="116" t="e">
        <f>MIN(B11,B25)</f>
        <v>#VALUE!</v>
      </c>
      <c r="H36" s="3" t="s">
        <v>51</v>
      </c>
      <c r="I36" s="103">
        <f>MIN(I11,I25)</f>
        <v>42000</v>
      </c>
    </row>
    <row r="37" spans="1:11" x14ac:dyDescent="0.2">
      <c r="A37" s="3" t="s">
        <v>61</v>
      </c>
      <c r="B37" s="116" t="e">
        <f>IF(B6=1,0,ROUNDDOWN(0.6*B36*0.0935,2))</f>
        <v>#VALUE!</v>
      </c>
      <c r="H37" s="3" t="s">
        <v>61</v>
      </c>
      <c r="I37" s="103">
        <f>IF(I6=1,0,ROUNDDOWN(0.6*I36*0.0935,2))</f>
        <v>2356.1999999999998</v>
      </c>
    </row>
    <row r="38" spans="1:11" x14ac:dyDescent="0.2">
      <c r="A38" s="61" t="s">
        <v>62</v>
      </c>
      <c r="B38" s="116">
        <f>IF(B28=1,1900,3000)</f>
        <v>1900</v>
      </c>
      <c r="H38" s="61" t="s">
        <v>62</v>
      </c>
      <c r="I38" s="103">
        <f>IF(I28=1,1900,3000)</f>
        <v>1900</v>
      </c>
    </row>
    <row r="39" spans="1:11" x14ac:dyDescent="0.2">
      <c r="A39" s="61" t="s">
        <v>63</v>
      </c>
      <c r="B39" s="116" t="e">
        <f>MIN(B38,ROUNDDOWN(0.12*B36,2))</f>
        <v>#VALUE!</v>
      </c>
      <c r="H39" s="61" t="s">
        <v>63</v>
      </c>
      <c r="I39" s="103">
        <f>MIN(I38,ROUNDDOWN(0.12*I36,2))</f>
        <v>1900</v>
      </c>
    </row>
    <row r="40" spans="1:11" x14ac:dyDescent="0.2">
      <c r="A40" s="61" t="e">
        <f xml:space="preserve"> IF(Berechnung!R16=0,"KVSatz=0",7 + Berechnung!R17 &amp; " % + PV")</f>
        <v>#VALUE!</v>
      </c>
      <c r="B40" s="66" t="e">
        <f>IF(Berechnung!R16=0,0,0.07+Berechnung!R17/100+B13)</f>
        <v>#VALUE!</v>
      </c>
      <c r="D40" s="52" t="e">
        <f>IF(B40=0,"","Vorsorgepauschale berücksichtigt: 7,0% (=reduzierter Beitragssatz) + Zusatzbeitrag: " &amp; Berechnung!R17 &amp; "% + " &amp; B13 &amp; " (PV)")</f>
        <v>#VALUE!</v>
      </c>
      <c r="H40" s="61" t="s">
        <v>133</v>
      </c>
      <c r="I40" s="117">
        <v>9.0750000000000011E-2</v>
      </c>
      <c r="K40" s="52"/>
    </row>
    <row r="41" spans="1:11" x14ac:dyDescent="0.2">
      <c r="A41" s="61" t="s">
        <v>64</v>
      </c>
      <c r="B41" s="116" t="e">
        <f>IF(B12&gt;0,B12,ROUNDDOWN(MIN(B25,49500)*B40*100,0)/100)</f>
        <v>#VALUE!</v>
      </c>
      <c r="D41" s="67"/>
      <c r="H41" s="61" t="s">
        <v>64</v>
      </c>
      <c r="I41" s="103">
        <f>IF(I12&gt;0,I12,ROUNDDOWN(MIN(I25,49500)*I40*100,0)/100)</f>
        <v>3811.5</v>
      </c>
      <c r="K41" s="67"/>
    </row>
    <row r="42" spans="1:11" x14ac:dyDescent="0.2">
      <c r="A42" s="61" t="s">
        <v>65</v>
      </c>
      <c r="B42" s="116" t="e">
        <f>IF(B41&gt;B39,B41,B39)</f>
        <v>#VALUE!</v>
      </c>
      <c r="D42" s="100"/>
      <c r="H42" s="61" t="s">
        <v>65</v>
      </c>
      <c r="I42" s="103">
        <f>IF(I41&gt;I39,I41,I39)</f>
        <v>3811.5</v>
      </c>
      <c r="K42" s="100"/>
    </row>
    <row r="43" spans="1:11" x14ac:dyDescent="0.2">
      <c r="A43" s="61" t="s">
        <v>66</v>
      </c>
      <c r="B43" s="116" t="e">
        <f>ROUNDUP(B37+B42,0)</f>
        <v>#VALUE!</v>
      </c>
      <c r="D43" s="52"/>
      <c r="H43" s="61" t="s">
        <v>66</v>
      </c>
      <c r="I43" s="103">
        <f>ROUNDUP(I37+I42,0)</f>
        <v>6168</v>
      </c>
      <c r="K43" s="52"/>
    </row>
    <row r="44" spans="1:11" x14ac:dyDescent="0.2">
      <c r="A44" s="61"/>
      <c r="B44" s="63"/>
      <c r="H44" s="61"/>
      <c r="I44" s="103"/>
    </row>
    <row r="45" spans="1:11" x14ac:dyDescent="0.2">
      <c r="A45" s="59" t="s">
        <v>67</v>
      </c>
      <c r="B45" s="60"/>
      <c r="H45" s="59" t="s">
        <v>67</v>
      </c>
      <c r="I45" s="111"/>
    </row>
    <row r="46" spans="1:11" x14ac:dyDescent="0.2">
      <c r="A46" s="3" t="s">
        <v>68</v>
      </c>
      <c r="B46" s="118" t="e">
        <f>ROUNDDOWN(B24-B33-B43,0)</f>
        <v>#VALUE!</v>
      </c>
      <c r="H46" s="3" t="s">
        <v>68</v>
      </c>
      <c r="I46" s="107">
        <f>ROUNDDOWN(I24-I33-I43,0)</f>
        <v>34796</v>
      </c>
    </row>
    <row r="47" spans="1:11" x14ac:dyDescent="0.2">
      <c r="A47" s="3" t="s">
        <v>69</v>
      </c>
      <c r="B47" s="118" t="e">
        <f>MAX(0,ROUNDDOWN(B46/B28,0))</f>
        <v>#VALUE!</v>
      </c>
      <c r="H47" s="3" t="s">
        <v>69</v>
      </c>
      <c r="I47" s="107">
        <f>MAX(0,ROUNDDOWN(I46/I28,0))</f>
        <v>34796</v>
      </c>
    </row>
    <row r="49" spans="1:11" x14ac:dyDescent="0.2">
      <c r="A49" s="59" t="s">
        <v>130</v>
      </c>
      <c r="B49" s="60"/>
      <c r="H49" s="59" t="s">
        <v>136</v>
      </c>
      <c r="I49" s="111"/>
    </row>
    <row r="50" spans="1:11" x14ac:dyDescent="0.2">
      <c r="A50" s="3" t="s">
        <v>70</v>
      </c>
      <c r="B50" s="13" t="e">
        <f>IF(B47&lt;=8354,0,IF(B47&lt;=13469,INT((974.58*(B47-8354)/10000+1400)*(B47-8354)/10000),IF(B47&lt;=52881,INT((228.74*(B47-13469)/10000+2397)*(B47-13469)/10000+971),IF(B47&lt;=250730,INT(B47*0.42-8239),INT(B47*0.45-15761)))))*B28</f>
        <v>#VALUE!</v>
      </c>
      <c r="H50" s="3" t="s">
        <v>70</v>
      </c>
      <c r="I50" s="104">
        <f>IF(I47&lt;=8354,0,IF(I47&lt;=13469,INT((974.58*(I47-8354)/10000+1400)*(I47-8354)/10000),IF(I47&lt;=52881,INT((228.74*(I47-13469)/10000+2397)*(I47-13469)/10000+971),IF(I47&lt;=250730,INT(I47*0.42-8239),INT(I47*0.45-15761)))))*I28</f>
        <v>7123</v>
      </c>
    </row>
    <row r="51" spans="1:11" x14ac:dyDescent="0.2">
      <c r="A51" s="10"/>
      <c r="H51" s="10"/>
    </row>
    <row r="52" spans="1:11" x14ac:dyDescent="0.2">
      <c r="A52" s="59" t="s">
        <v>71</v>
      </c>
      <c r="B52" s="60"/>
      <c r="H52" s="59" t="s">
        <v>71</v>
      </c>
      <c r="I52" s="111"/>
    </row>
    <row r="53" spans="1:11" x14ac:dyDescent="0.2">
      <c r="B53" s="55"/>
      <c r="I53" s="107"/>
    </row>
    <row r="54" spans="1:11" x14ac:dyDescent="0.2">
      <c r="A54" s="3" t="s">
        <v>72</v>
      </c>
      <c r="B54" s="118" t="e">
        <f>MIN(26441,B47)*1.25</f>
        <v>#VALUE!</v>
      </c>
      <c r="H54" s="3" t="s">
        <v>72</v>
      </c>
      <c r="I54" s="107">
        <f>MIN(26441,I47)*1.25</f>
        <v>33051.25</v>
      </c>
    </row>
    <row r="55" spans="1:11" x14ac:dyDescent="0.2">
      <c r="A55" s="3" t="s">
        <v>73</v>
      </c>
      <c r="B55" s="13" t="e">
        <f>IF(B54&lt;=8354,0,IF(B54&lt;=13469,INT((974.58*(B54-8354)/10000+1400)*(B54-8354)/10000),IF(B54&lt;=52881,INT((228.74*(B54-13469)/10000+2397)*(B54-13469)/10000+971),IF(B54&lt;=250730,INT(B54*0.42-8239),INT(B54*0.45-15761)))))</f>
        <v>#VALUE!</v>
      </c>
      <c r="H55" s="3" t="s">
        <v>73</v>
      </c>
      <c r="I55" s="104">
        <f>IF(I54&lt;=8354,0,IF(I54&lt;=13469,INT((974.58*(I54-8354)/10000+1400)*(I54-8354)/10000),IF(I54&lt;=52881,INT((228.74*(I54-13469)/10000+2397)*(I54-13469)/10000+971),IF(I54&lt;=250730,INT(I54*0.42-8239),INT(I54*0.45-15761)))))</f>
        <v>6542</v>
      </c>
    </row>
    <row r="56" spans="1:11" x14ac:dyDescent="0.2">
      <c r="A56" s="3" t="s">
        <v>72</v>
      </c>
      <c r="B56" s="118" t="e">
        <f>MIN(26441,B47)*0.75</f>
        <v>#VALUE!</v>
      </c>
      <c r="H56" s="3" t="s">
        <v>72</v>
      </c>
      <c r="I56" s="107">
        <f>MIN(26441,I47)*0.75</f>
        <v>19830.75</v>
      </c>
    </row>
    <row r="57" spans="1:11" x14ac:dyDescent="0.2">
      <c r="A57" s="3" t="s">
        <v>74</v>
      </c>
      <c r="B57" s="13" t="e">
        <f>IF(B56&lt;=8354,0,IF(B56&lt;=13469,INT((974.58*(B56-8354)/10000+1400)*(B56-8354)/10000),IF(B56&lt;=52881,INT((228.74*(B56-13469)/10000+2397)*(B56-13469)/10000+971),IF(B56&lt;=250730,INT(B56*0.42-8239),INT(B56*0.45-15761)))))</f>
        <v>#VALUE!</v>
      </c>
      <c r="H57" s="3" t="s">
        <v>74</v>
      </c>
      <c r="I57" s="104">
        <f>IF(I56&lt;=8354,0,IF(I56&lt;=13469,INT((974.58*(I56-8354)/10000+1400)*(I56-8354)/10000),IF(I56&lt;=52881,INT((228.74*(I56-13469)/10000+2397)*(I56-13469)/10000+971),IF(I56&lt;=250730,INT(I56*0.42-8239),INT(I56*0.45-15761)))))</f>
        <v>2588</v>
      </c>
    </row>
    <row r="58" spans="1:11" x14ac:dyDescent="0.2">
      <c r="A58" s="3" t="s">
        <v>75</v>
      </c>
      <c r="B58" s="118" t="e">
        <f>(B55-B57)*2</f>
        <v>#VALUE!</v>
      </c>
      <c r="H58" s="3" t="s">
        <v>75</v>
      </c>
      <c r="I58" s="107">
        <f>(I55-I57)*2</f>
        <v>7908</v>
      </c>
    </row>
    <row r="59" spans="1:11" x14ac:dyDescent="0.2">
      <c r="A59" s="3" t="s">
        <v>76</v>
      </c>
      <c r="B59" s="13" t="e">
        <f>ROUNDDOWN(MIN(B47,26441)*0.14,0)</f>
        <v>#VALUE!</v>
      </c>
      <c r="H59" s="3" t="s">
        <v>76</v>
      </c>
      <c r="I59" s="104">
        <f>ROUNDDOWN(MIN(I47,26441)*0.14,0)</f>
        <v>3701</v>
      </c>
    </row>
    <row r="60" spans="1:11" x14ac:dyDescent="0.2">
      <c r="A60" s="3" t="s">
        <v>70</v>
      </c>
      <c r="B60" s="118" t="e">
        <f>MAX(B58,B59)</f>
        <v>#VALUE!</v>
      </c>
      <c r="H60" s="3" t="s">
        <v>70</v>
      </c>
      <c r="I60" s="107">
        <f>MAX(I58,I59)</f>
        <v>7908</v>
      </c>
    </row>
    <row r="61" spans="1:11" x14ac:dyDescent="0.2">
      <c r="A61" s="3" t="s">
        <v>70</v>
      </c>
      <c r="B61" s="118" t="e">
        <f>IF(B47&gt;200584,(200584 - 26441)*0.42 + B60,ROUNDDOWN(MAX(B47-26441,0)*0.42+B60,0))</f>
        <v>#VALUE!</v>
      </c>
      <c r="H61" s="3" t="s">
        <v>70</v>
      </c>
      <c r="I61" s="107">
        <f>IF(I47&gt;200584,(200584 - 26441)*0.42 + I60,ROUNDDOWN(MAX(I47-26441,0)*0.42+I60,0))</f>
        <v>11417</v>
      </c>
    </row>
    <row r="62" spans="1:11" x14ac:dyDescent="0.2">
      <c r="A62" s="3" t="s">
        <v>77</v>
      </c>
      <c r="B62" s="13" t="e">
        <f>IF(AND(B47&gt;9763,B47&lt;=26441),B60,0)</f>
        <v>#VALUE!</v>
      </c>
      <c r="D62" s="55"/>
      <c r="H62" s="3" t="s">
        <v>77</v>
      </c>
      <c r="I62" s="104">
        <f>IF(AND(I47&gt;9763,I47&lt;=26441),I60,0)</f>
        <v>0</v>
      </c>
      <c r="K62" s="55"/>
    </row>
    <row r="63" spans="1:11" x14ac:dyDescent="0.2">
      <c r="A63" s="3" t="s">
        <v>70</v>
      </c>
      <c r="B63" s="118">
        <v>1366</v>
      </c>
      <c r="D63" s="101" t="s">
        <v>132</v>
      </c>
      <c r="H63" s="3" t="s">
        <v>70</v>
      </c>
      <c r="I63" s="107">
        <v>1366</v>
      </c>
      <c r="K63" s="101" t="s">
        <v>132</v>
      </c>
    </row>
    <row r="64" spans="1:11" x14ac:dyDescent="0.2">
      <c r="A64" s="3" t="s">
        <v>70</v>
      </c>
      <c r="B64" s="118" t="e">
        <f xml:space="preserve"> MIN(ROUNDDOWN(MAX(B47-9763,0)*0.42+B63,0),B61)</f>
        <v>#VALUE!</v>
      </c>
      <c r="H64" s="3" t="s">
        <v>70</v>
      </c>
      <c r="I64" s="107">
        <f xml:space="preserve"> MIN(ROUNDDOWN(MAX(I47-9763,0)*0.42+I63,0),I61)</f>
        <v>11417</v>
      </c>
    </row>
    <row r="65" spans="1:11" x14ac:dyDescent="0.2">
      <c r="A65" s="3" t="s">
        <v>78</v>
      </c>
      <c r="B65" s="118" t="e">
        <f>ROUNDDOWN(MAX(B47-200584,0)*0.45+B64,0)</f>
        <v>#VALUE!</v>
      </c>
      <c r="H65" s="3" t="s">
        <v>78</v>
      </c>
      <c r="I65" s="107">
        <f>ROUNDDOWN(MAX(I47-200584,0)*0.45+I64,0)</f>
        <v>11417</v>
      </c>
    </row>
    <row r="66" spans="1:11" x14ac:dyDescent="0.2">
      <c r="A66" s="3" t="s">
        <v>79</v>
      </c>
      <c r="B66" s="13" t="e">
        <f>ROUNDDOWN(IF(B8&lt;5,B50,B65)*B14,0)</f>
        <v>#VALUE!</v>
      </c>
      <c r="D66" s="3" t="s">
        <v>80</v>
      </c>
      <c r="H66" s="3" t="s">
        <v>79</v>
      </c>
      <c r="I66" s="104">
        <f>ROUNDDOWN(IF(I8&lt;5,I50,I65)*I14,0)</f>
        <v>7123</v>
      </c>
      <c r="K66" s="3" t="s">
        <v>80</v>
      </c>
    </row>
    <row r="67" spans="1:11" x14ac:dyDescent="0.2">
      <c r="A67" s="3" t="s">
        <v>81</v>
      </c>
      <c r="B67" s="13" t="e">
        <f>B66*100</f>
        <v>#VALUE!</v>
      </c>
      <c r="D67" s="3" t="s">
        <v>82</v>
      </c>
      <c r="H67" s="3" t="s">
        <v>81</v>
      </c>
      <c r="I67" s="104">
        <f>I66*100</f>
        <v>712300</v>
      </c>
      <c r="K67" s="3" t="s">
        <v>82</v>
      </c>
    </row>
    <row r="68" spans="1:11" x14ac:dyDescent="0.2">
      <c r="D68" s="3" t="s">
        <v>83</v>
      </c>
      <c r="K68" s="3" t="s">
        <v>83</v>
      </c>
    </row>
    <row r="69" spans="1:11" x14ac:dyDescent="0.2">
      <c r="A69" s="59" t="s">
        <v>84</v>
      </c>
      <c r="B69" s="60"/>
      <c r="H69" s="59" t="s">
        <v>84</v>
      </c>
      <c r="I69" s="111"/>
    </row>
    <row r="71" spans="1:11" x14ac:dyDescent="0.2">
      <c r="A71" s="3" t="s">
        <v>85</v>
      </c>
      <c r="B71" s="13" t="e">
        <f>IF(B5=1,B67,IF(B5=2,ROUNDDOWN(B67/12,0),IF(B5=3,ROUNDDOWN((B67*7)/360,0),ROUNDDOWN(B67/360,0))))</f>
        <v>#VALUE!</v>
      </c>
      <c r="H71" s="3" t="s">
        <v>85</v>
      </c>
      <c r="I71" s="104">
        <f>IF(I5=1,I67,IF(I5=2,ROUNDDOWN(I67/12,0),IF(I5=3,ROUNDDOWN((I67*7)/360,0),ROUNDDOWN(I67/360,0))))</f>
        <v>59358</v>
      </c>
    </row>
    <row r="72" spans="1:11" x14ac:dyDescent="0.2">
      <c r="A72" s="3" t="s">
        <v>59</v>
      </c>
      <c r="B72" s="13">
        <f>B32+B33</f>
        <v>1036</v>
      </c>
      <c r="H72" s="3" t="s">
        <v>59</v>
      </c>
      <c r="I72" s="104">
        <f>I32+I33</f>
        <v>1036</v>
      </c>
    </row>
    <row r="73" spans="1:11" x14ac:dyDescent="0.2">
      <c r="A73" s="3" t="s">
        <v>68</v>
      </c>
      <c r="B73" s="118" t="e">
        <f>B24-B43-B72</f>
        <v>#VALUE!</v>
      </c>
      <c r="H73" s="3" t="s">
        <v>68</v>
      </c>
      <c r="I73" s="107">
        <f>I24-I43-I72</f>
        <v>34796</v>
      </c>
    </row>
    <row r="74" spans="1:11" x14ac:dyDescent="0.2">
      <c r="A74" s="3" t="s">
        <v>86</v>
      </c>
      <c r="B74" s="13" t="e">
        <f>IF(B73&lt;36,0,ROUNDDOWN(B73/B28,0))</f>
        <v>#VALUE!</v>
      </c>
      <c r="H74" s="3" t="s">
        <v>86</v>
      </c>
      <c r="I74" s="104">
        <f>IF(I73&lt;36,0,ROUNDDOWN(I73/I28,0))</f>
        <v>34796</v>
      </c>
    </row>
    <row r="75" spans="1:11" x14ac:dyDescent="0.2">
      <c r="A75" s="3" t="s">
        <v>70</v>
      </c>
      <c r="B75" s="13" t="e">
        <f>IF(B74&lt;=8354,0,IF(B74&lt;=13469,INT((974.58*(B74-8354)/10000+1400)*(B74-8354)/10000),IF(B74&lt;=52881,INT((228.74*(B74-13469)/10000+2397)*(B74-13469)/10000+971),IF(B74&lt;=250730,INT(B74*0.42-8239),INT(B74*0.45-15761)))))*B28</f>
        <v>#VALUE!</v>
      </c>
      <c r="D75" s="3" t="s">
        <v>80</v>
      </c>
      <c r="H75" s="3" t="s">
        <v>70</v>
      </c>
      <c r="I75" s="104">
        <f>IF(I74&lt;=8354,0,IF(I74&lt;=13469,INT((974.58*(I74-8354)/10000+1400)*(I74-8354)/10000),IF(I74&lt;=52881,INT((228.74*(I74-13469)/10000+2397)*(I74-13469)/10000+971),IF(I74&lt;=250730,INT(I74*0.42-8239),INT(I74*0.45-15761)))))*I28</f>
        <v>7123</v>
      </c>
      <c r="K75" s="3" t="s">
        <v>80</v>
      </c>
    </row>
    <row r="76" spans="1:11" x14ac:dyDescent="0.2">
      <c r="A76" s="3" t="s">
        <v>87</v>
      </c>
      <c r="B76" s="13" t="e">
        <f>IF(B4&gt;0,ROUNDDOWN(B75*B14,0),B66)</f>
        <v>#VALUE!</v>
      </c>
      <c r="D76" s="3" t="s">
        <v>88</v>
      </c>
      <c r="H76" s="3" t="s">
        <v>87</v>
      </c>
      <c r="I76" s="104">
        <f>IF(I4&gt;0,ROUNDDOWN(I75*I14,0),I66)</f>
        <v>7123</v>
      </c>
      <c r="K76" s="3" t="s">
        <v>88</v>
      </c>
    </row>
    <row r="78" spans="1:11" x14ac:dyDescent="0.2">
      <c r="A78" s="59" t="s">
        <v>89</v>
      </c>
      <c r="B78" s="60"/>
      <c r="H78" s="59" t="s">
        <v>89</v>
      </c>
      <c r="I78" s="111"/>
    </row>
    <row r="79" spans="1:11" x14ac:dyDescent="0.2">
      <c r="A79" s="3" t="s">
        <v>90</v>
      </c>
      <c r="B79" s="13">
        <f>972*B28</f>
        <v>972</v>
      </c>
      <c r="H79" s="3" t="s">
        <v>90</v>
      </c>
      <c r="I79" s="104">
        <f>972*I28</f>
        <v>972</v>
      </c>
    </row>
    <row r="80" spans="1:11" x14ac:dyDescent="0.2">
      <c r="A80" s="3" t="s">
        <v>91</v>
      </c>
      <c r="B80" s="116" t="e">
        <f>ROUNDDOWN((B76*5.5)/100,2)</f>
        <v>#VALUE!</v>
      </c>
      <c r="H80" s="3" t="s">
        <v>91</v>
      </c>
      <c r="I80" s="103">
        <f>ROUNDDOWN((I76*5.5)/100,2)</f>
        <v>391.76</v>
      </c>
    </row>
    <row r="81" spans="1:12" x14ac:dyDescent="0.2">
      <c r="A81" s="3" t="s">
        <v>92</v>
      </c>
      <c r="B81" s="116" t="e">
        <f>((B76-B79)*20)/100</f>
        <v>#VALUE!</v>
      </c>
      <c r="H81" s="3" t="s">
        <v>92</v>
      </c>
      <c r="I81" s="103">
        <f>((I76-I79)*20)/100</f>
        <v>1230.2</v>
      </c>
    </row>
    <row r="82" spans="1:12" x14ac:dyDescent="0.2">
      <c r="A82" s="3" t="s">
        <v>91</v>
      </c>
      <c r="B82" s="116" t="e">
        <f>MIN(B81,B80)</f>
        <v>#VALUE!</v>
      </c>
      <c r="E82" s="63"/>
      <c r="H82" s="3" t="s">
        <v>91</v>
      </c>
      <c r="I82" s="103">
        <f>MIN(I81,I80)</f>
        <v>391.76</v>
      </c>
      <c r="L82" s="63"/>
    </row>
    <row r="83" spans="1:12" x14ac:dyDescent="0.2">
      <c r="A83" s="3" t="s">
        <v>81</v>
      </c>
      <c r="B83" s="13" t="e">
        <f>B82*100</f>
        <v>#VALUE!</v>
      </c>
      <c r="H83" s="3" t="s">
        <v>81</v>
      </c>
      <c r="I83" s="104">
        <f>I82*100</f>
        <v>39176</v>
      </c>
    </row>
    <row r="85" spans="1:12" x14ac:dyDescent="0.2">
      <c r="A85" s="59" t="s">
        <v>93</v>
      </c>
      <c r="B85" s="60"/>
      <c r="H85" s="59" t="s">
        <v>93</v>
      </c>
      <c r="I85" s="111"/>
    </row>
    <row r="86" spans="1:12" x14ac:dyDescent="0.2">
      <c r="A86" s="3" t="s">
        <v>94</v>
      </c>
      <c r="B86" s="13" t="e">
        <f>ROUNDDOWN(IF(B5=1,B83,IF(B5=2,B83/12,IF(B5=3,(B83*7)/360,B83/360))),0)</f>
        <v>#VALUE!</v>
      </c>
      <c r="H86" s="3" t="s">
        <v>94</v>
      </c>
      <c r="I86" s="104">
        <f>ROUNDDOWN(IF(I5=1,I83,IF(I5=2,I83/12,IF(I5=3,(I83*7)/360,I83/360))),0)</f>
        <v>3264</v>
      </c>
    </row>
    <row r="87" spans="1:12" x14ac:dyDescent="0.2">
      <c r="A87" s="3" t="s">
        <v>95</v>
      </c>
      <c r="B87" s="13" t="e">
        <f>IF(B76&gt;B79,B86,0)</f>
        <v>#VALUE!</v>
      </c>
      <c r="H87" s="3" t="s">
        <v>95</v>
      </c>
      <c r="I87" s="104">
        <f>IF(I76&gt;I79,I86,0)</f>
        <v>3264</v>
      </c>
    </row>
    <row r="88" spans="1:12" x14ac:dyDescent="0.2">
      <c r="A88" s="3" t="s">
        <v>81</v>
      </c>
      <c r="B88" s="13" t="e">
        <f>B76*100</f>
        <v>#VALUE!</v>
      </c>
      <c r="H88" s="3" t="s">
        <v>81</v>
      </c>
      <c r="I88" s="104">
        <f>I76*100</f>
        <v>712300</v>
      </c>
    </row>
    <row r="90" spans="1:12" x14ac:dyDescent="0.2">
      <c r="A90" s="59" t="s">
        <v>96</v>
      </c>
      <c r="B90" s="60"/>
      <c r="H90" s="59" t="s">
        <v>96</v>
      </c>
      <c r="I90" s="111"/>
    </row>
    <row r="91" spans="1:12" x14ac:dyDescent="0.2">
      <c r="A91" s="3" t="s">
        <v>94</v>
      </c>
      <c r="B91" s="13" t="e">
        <f>ROUNDDOWN(IF(B5=1,B88,IF(B5=2,B88/12,IF(B5=3,(B88*7)/360,B88/360))),0)</f>
        <v>#VALUE!</v>
      </c>
      <c r="H91" s="3" t="s">
        <v>94</v>
      </c>
      <c r="I91" s="104">
        <f>ROUNDDOWN(IF(I5=1,I88,IF(I5=2,I88/12,IF(I5=3,(I88*7)/360,I88/360))),0)</f>
        <v>59358</v>
      </c>
    </row>
    <row r="92" spans="1:12" x14ac:dyDescent="0.2">
      <c r="A92" s="3" t="s">
        <v>96</v>
      </c>
      <c r="B92" s="13" t="e">
        <f>B91</f>
        <v>#VALUE!</v>
      </c>
      <c r="H92" s="3" t="s">
        <v>96</v>
      </c>
      <c r="I92" s="104">
        <f>I91</f>
        <v>59358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/>
  <dimension ref="A2:L92"/>
  <sheetViews>
    <sheetView workbookViewId="0">
      <selection activeCell="B7" sqref="B7"/>
    </sheetView>
  </sheetViews>
  <sheetFormatPr baseColWidth="10" defaultColWidth="11.42578125" defaultRowHeight="12.75" x14ac:dyDescent="0.2"/>
  <cols>
    <col min="1" max="1" width="12" style="3" customWidth="1"/>
    <col min="2" max="2" width="14" style="3" customWidth="1"/>
    <col min="3" max="3" width="11.42578125" style="3" customWidth="1"/>
    <col min="4" max="4" width="13.140625" style="3" hidden="1" customWidth="1"/>
    <col min="5" max="5" width="11.42578125" style="3" customWidth="1"/>
    <col min="6" max="6" width="11.42578125" style="3" hidden="1" customWidth="1"/>
    <col min="7" max="8" width="11.42578125" style="3" customWidth="1"/>
    <col min="9" max="12" width="11.42578125" style="3" hidden="1" customWidth="1"/>
    <col min="13" max="16384" width="11.42578125" style="3"/>
  </cols>
  <sheetData>
    <row r="2" spans="1:12" x14ac:dyDescent="0.2">
      <c r="A2" s="50" t="s">
        <v>129</v>
      </c>
      <c r="B2" s="50"/>
      <c r="D2" s="51"/>
      <c r="E2"/>
      <c r="F2"/>
      <c r="G2"/>
      <c r="H2"/>
      <c r="I2" s="50" t="s">
        <v>129</v>
      </c>
      <c r="J2" s="50"/>
      <c r="K2"/>
    </row>
    <row r="3" spans="1:12" x14ac:dyDescent="0.2">
      <c r="A3" s="3" t="s">
        <v>29</v>
      </c>
      <c r="B3" s="63">
        <f>Berechnung!R22</f>
        <v>0</v>
      </c>
      <c r="D3" s="52" t="s">
        <v>30</v>
      </c>
      <c r="I3" s="3" t="s">
        <v>29</v>
      </c>
      <c r="J3" s="63">
        <v>0</v>
      </c>
      <c r="K3"/>
      <c r="L3" s="63">
        <f>+B3-J3</f>
        <v>0</v>
      </c>
    </row>
    <row r="4" spans="1:12" x14ac:dyDescent="0.2">
      <c r="A4" s="3" t="s">
        <v>31</v>
      </c>
      <c r="B4" s="3">
        <f>IF(Berechnung!R11&gt;4,0,Berechnung!R14)</f>
        <v>0</v>
      </c>
      <c r="D4" s="52" t="s">
        <v>32</v>
      </c>
      <c r="E4"/>
      <c r="F4"/>
      <c r="G4"/>
      <c r="H4"/>
      <c r="I4" s="3" t="s">
        <v>31</v>
      </c>
      <c r="J4" s="3">
        <v>0</v>
      </c>
      <c r="K4"/>
      <c r="L4" s="63">
        <f t="shared" ref="L4:L67" si="0">+B4-J4</f>
        <v>0</v>
      </c>
    </row>
    <row r="5" spans="1:12" x14ac:dyDescent="0.2">
      <c r="A5" s="3" t="s">
        <v>33</v>
      </c>
      <c r="B5" s="3">
        <f>Berechnung!R9</f>
        <v>1</v>
      </c>
      <c r="D5"/>
      <c r="E5"/>
      <c r="F5"/>
      <c r="G5"/>
      <c r="H5"/>
      <c r="I5" s="3" t="s">
        <v>33</v>
      </c>
      <c r="J5" s="3">
        <v>2</v>
      </c>
      <c r="K5"/>
      <c r="L5" s="63">
        <f t="shared" si="0"/>
        <v>-1</v>
      </c>
    </row>
    <row r="6" spans="1:12" x14ac:dyDescent="0.2">
      <c r="A6" s="3" t="s">
        <v>34</v>
      </c>
      <c r="B6" s="3">
        <f>Berechnung!R13</f>
        <v>0</v>
      </c>
      <c r="D6"/>
      <c r="E6"/>
      <c r="F6"/>
      <c r="G6"/>
      <c r="H6"/>
      <c r="I6" s="3" t="s">
        <v>34</v>
      </c>
      <c r="J6" s="3">
        <v>1</v>
      </c>
      <c r="K6"/>
      <c r="L6" s="63">
        <f t="shared" si="0"/>
        <v>-1</v>
      </c>
    </row>
    <row r="7" spans="1:12" x14ac:dyDescent="0.2">
      <c r="A7" s="3" t="s">
        <v>35</v>
      </c>
      <c r="B7" s="53" t="e">
        <f>ROUNDDOWN(IF(B5=1,Berechnung!R8*100,IF(B5=2,(Berechnung!R8*100)*12,IF(B5=3,((Berechnung!R8*100)*360)/7,(Berechnung!R8*100)*360))),2)</f>
        <v>#VALUE!</v>
      </c>
      <c r="D7"/>
      <c r="E7"/>
      <c r="F7"/>
      <c r="G7"/>
      <c r="H7"/>
      <c r="I7" s="3" t="s">
        <v>35</v>
      </c>
      <c r="J7" s="53">
        <v>2400000</v>
      </c>
      <c r="K7"/>
      <c r="L7" s="63" t="e">
        <f t="shared" si="0"/>
        <v>#VALUE!</v>
      </c>
    </row>
    <row r="8" spans="1:12" x14ac:dyDescent="0.2">
      <c r="A8" s="3" t="s">
        <v>36</v>
      </c>
      <c r="B8" s="54">
        <f>Berechnung!R11</f>
        <v>1</v>
      </c>
      <c r="D8"/>
      <c r="E8"/>
      <c r="F8"/>
      <c r="G8"/>
      <c r="H8"/>
      <c r="I8" s="3" t="s">
        <v>36</v>
      </c>
      <c r="J8" s="54">
        <v>1</v>
      </c>
      <c r="K8"/>
      <c r="L8" s="63">
        <f t="shared" si="0"/>
        <v>0</v>
      </c>
    </row>
    <row r="9" spans="1:12" x14ac:dyDescent="0.2">
      <c r="A9" s="3" t="s">
        <v>37</v>
      </c>
      <c r="B9" s="55">
        <f>Berechnung!R24*100</f>
        <v>0</v>
      </c>
      <c r="C9" s="3" t="s">
        <v>38</v>
      </c>
      <c r="D9"/>
      <c r="E9"/>
      <c r="F9"/>
      <c r="G9"/>
      <c r="H9"/>
      <c r="I9" s="3" t="s">
        <v>37</v>
      </c>
      <c r="J9" s="55">
        <v>0</v>
      </c>
      <c r="K9"/>
      <c r="L9" s="63">
        <f t="shared" si="0"/>
        <v>0</v>
      </c>
    </row>
    <row r="10" spans="1:12" x14ac:dyDescent="0.2">
      <c r="A10" s="3" t="s">
        <v>39</v>
      </c>
      <c r="B10" s="56">
        <f>IF(B8=6,0,Berechnung!R23*100)</f>
        <v>0</v>
      </c>
      <c r="D10"/>
      <c r="E10"/>
      <c r="F10"/>
      <c r="G10"/>
      <c r="H10"/>
      <c r="I10" s="3" t="s">
        <v>39</v>
      </c>
      <c r="J10" s="56">
        <v>0</v>
      </c>
      <c r="K10"/>
      <c r="L10" s="63">
        <f t="shared" si="0"/>
        <v>0</v>
      </c>
    </row>
    <row r="11" spans="1:12" x14ac:dyDescent="0.2">
      <c r="A11" s="3" t="s">
        <v>40</v>
      </c>
      <c r="B11" s="56">
        <f>IF(Berechnung!R20=0,71400,60000)</f>
        <v>71400</v>
      </c>
      <c r="D11" s="3" t="s">
        <v>41</v>
      </c>
      <c r="E11"/>
      <c r="F11"/>
      <c r="G11"/>
      <c r="H11"/>
      <c r="I11" s="3" t="s">
        <v>40</v>
      </c>
      <c r="J11" s="56">
        <v>71400</v>
      </c>
      <c r="K11"/>
      <c r="L11" s="63">
        <f t="shared" si="0"/>
        <v>0</v>
      </c>
    </row>
    <row r="12" spans="1:12" x14ac:dyDescent="0.2">
      <c r="A12" s="3" t="s">
        <v>42</v>
      </c>
      <c r="B12" s="57" t="e">
        <f>IF(Berechnung!R17&gt;20,ROUNDDOWN(IF(B5=1,Berechnung!R17*100,IF(B5=2,(Berechnung!R17*100)*12,IF(B5=3,((Berechnung!R17*100)*360)/7,(Berechnung!R17*100)*360)))/100,2),0)</f>
        <v>#VALUE!</v>
      </c>
      <c r="D12"/>
      <c r="E12"/>
      <c r="F12"/>
      <c r="G12"/>
      <c r="H12"/>
      <c r="I12" s="3" t="s">
        <v>42</v>
      </c>
      <c r="J12" s="57">
        <v>0</v>
      </c>
      <c r="K12"/>
      <c r="L12" s="63" t="e">
        <f t="shared" si="0"/>
        <v>#VALUE!</v>
      </c>
    </row>
    <row r="13" spans="1:12" x14ac:dyDescent="0.2">
      <c r="A13" s="3" t="s">
        <v>43</v>
      </c>
      <c r="B13" s="58">
        <f>IF(Berechnung!R21=0,0.01025,0.01525)+IF(AND(Berechnung!R19=1,Berechnung!R14=0),0.0025,0)</f>
        <v>1.025E-2</v>
      </c>
      <c r="D13"/>
      <c r="E13"/>
      <c r="F13"/>
      <c r="G13"/>
      <c r="H13"/>
      <c r="I13" s="3" t="s">
        <v>43</v>
      </c>
      <c r="J13" s="58">
        <v>1.2750000000000001E-2</v>
      </c>
      <c r="K13"/>
      <c r="L13" s="63">
        <f t="shared" si="0"/>
        <v>-2.5000000000000005E-3</v>
      </c>
    </row>
    <row r="14" spans="1:12" x14ac:dyDescent="0.2">
      <c r="A14" s="3" t="s">
        <v>44</v>
      </c>
      <c r="B14" s="63">
        <f>IF(OR(OR(Berechnung!R12=0,Berechnung!R12&gt;1),Berechnung!R11&lt;&gt;4),1,Berechnung!R12)</f>
        <v>1</v>
      </c>
      <c r="D14"/>
      <c r="E14"/>
      <c r="F14"/>
      <c r="G14"/>
      <c r="H14"/>
      <c r="I14" s="3" t="s">
        <v>44</v>
      </c>
      <c r="J14" s="63">
        <v>1</v>
      </c>
      <c r="K14"/>
      <c r="L14" s="63">
        <f t="shared" si="0"/>
        <v>0</v>
      </c>
    </row>
    <row r="15" spans="1:12" x14ac:dyDescent="0.2">
      <c r="A15" s="59" t="s">
        <v>45</v>
      </c>
      <c r="B15" s="60"/>
      <c r="D15"/>
      <c r="E15"/>
      <c r="F15"/>
      <c r="G15"/>
      <c r="H15"/>
      <c r="I15" s="59" t="s">
        <v>45</v>
      </c>
      <c r="J15" s="60"/>
      <c r="K15"/>
      <c r="L15" s="63">
        <f t="shared" si="0"/>
        <v>0</v>
      </c>
    </row>
    <row r="16" spans="1:12" x14ac:dyDescent="0.2">
      <c r="A16" s="61" t="s">
        <v>46</v>
      </c>
      <c r="B16" s="99">
        <f>IF(B3=1,0.4,IF(B3=2,0.384,IF(B3=3,0.368,IF(B3=4,0.352,IF(B3=5,0.336,IF(B3=6,0.32,IF(B3=7,0.304,IF(B3=8,0.288,0)))))))) + IF(B3=9,0.272,IF(B3=10,0.276,0))</f>
        <v>0</v>
      </c>
      <c r="D16"/>
      <c r="E16"/>
      <c r="F16"/>
      <c r="G16"/>
      <c r="H16"/>
      <c r="I16" s="61" t="s">
        <v>46</v>
      </c>
      <c r="J16" s="99">
        <v>0</v>
      </c>
      <c r="K16"/>
      <c r="L16" s="63">
        <f t="shared" si="0"/>
        <v>0</v>
      </c>
    </row>
    <row r="17" spans="1:12" x14ac:dyDescent="0.2">
      <c r="A17" s="3" t="s">
        <v>47</v>
      </c>
      <c r="B17" s="3">
        <f>IF(B3=1,190000,IF(B3=2,182400,IF(B3=3,174800,IF(B3=4,167200,IF(B3=5,159600,IF(B3=6,152000,IF(B3=7,144400,IF(B3=8,136800,0))))))))+IF(B3=9,129200,IF(B3=10,121600,0))</f>
        <v>0</v>
      </c>
      <c r="D17"/>
      <c r="E17"/>
      <c r="F17"/>
      <c r="G17"/>
      <c r="H17"/>
      <c r="I17" s="3" t="s">
        <v>47</v>
      </c>
      <c r="J17" s="3">
        <v>0</v>
      </c>
      <c r="K17"/>
      <c r="L17" s="63">
        <f t="shared" si="0"/>
        <v>0</v>
      </c>
    </row>
    <row r="18" spans="1:12" x14ac:dyDescent="0.2">
      <c r="A18" s="3" t="s">
        <v>48</v>
      </c>
      <c r="B18" s="62">
        <f xml:space="preserve"> B17</f>
        <v>0</v>
      </c>
      <c r="D18"/>
      <c r="E18"/>
      <c r="F18"/>
      <c r="G18"/>
      <c r="H18"/>
      <c r="I18" s="3" t="s">
        <v>48</v>
      </c>
      <c r="J18" s="62">
        <v>0</v>
      </c>
      <c r="K18"/>
      <c r="L18" s="63">
        <f t="shared" si="0"/>
        <v>0</v>
      </c>
    </row>
    <row r="19" spans="1:12" x14ac:dyDescent="0.2">
      <c r="A19" s="3" t="s">
        <v>49</v>
      </c>
      <c r="B19" s="3">
        <f>IF(B3=0,0,IF((B7*B16)&gt;B18,B18,B7*B16))</f>
        <v>0</v>
      </c>
      <c r="D19"/>
      <c r="E19"/>
      <c r="F19"/>
      <c r="G19"/>
      <c r="H19"/>
      <c r="I19" s="3" t="s">
        <v>49</v>
      </c>
      <c r="J19" s="3">
        <v>0</v>
      </c>
      <c r="K19"/>
      <c r="L19" s="63">
        <f t="shared" si="0"/>
        <v>0</v>
      </c>
    </row>
    <row r="20" spans="1:12" x14ac:dyDescent="0.2">
      <c r="A20" s="3" t="s">
        <v>50</v>
      </c>
      <c r="B20" s="56" t="e">
        <f>B7-B9+B10-B19</f>
        <v>#VALUE!</v>
      </c>
      <c r="D20"/>
      <c r="E20"/>
      <c r="F20" t="str">
        <f>Berechnung!R17</f>
        <v/>
      </c>
      <c r="G20"/>
      <c r="H20"/>
      <c r="I20" s="3" t="s">
        <v>50</v>
      </c>
      <c r="J20" s="56">
        <v>2400000</v>
      </c>
      <c r="K20"/>
      <c r="L20" s="63" t="e">
        <f t="shared" si="0"/>
        <v>#VALUE!</v>
      </c>
    </row>
    <row r="21" spans="1:12" x14ac:dyDescent="0.2">
      <c r="A21" s="3" t="s">
        <v>51</v>
      </c>
      <c r="B21" s="56" t="e">
        <f>B7</f>
        <v>#VALUE!</v>
      </c>
      <c r="D21"/>
      <c r="E21"/>
      <c r="F21"/>
      <c r="G21"/>
      <c r="H21"/>
      <c r="I21" s="3" t="s">
        <v>51</v>
      </c>
      <c r="J21" s="56">
        <v>2400000</v>
      </c>
      <c r="K21"/>
      <c r="L21" s="63" t="e">
        <f t="shared" si="0"/>
        <v>#VALUE!</v>
      </c>
    </row>
    <row r="22" spans="1:12" x14ac:dyDescent="0.2">
      <c r="D22"/>
      <c r="E22"/>
      <c r="F22"/>
      <c r="G22"/>
      <c r="H22"/>
      <c r="K22"/>
      <c r="L22" s="63">
        <f t="shared" si="0"/>
        <v>0</v>
      </c>
    </row>
    <row r="23" spans="1:12" x14ac:dyDescent="0.2">
      <c r="A23" s="59" t="s">
        <v>52</v>
      </c>
      <c r="B23" s="60"/>
      <c r="D23"/>
      <c r="E23"/>
      <c r="F23"/>
      <c r="G23"/>
      <c r="H23"/>
      <c r="I23" s="59" t="s">
        <v>52</v>
      </c>
      <c r="J23" s="60"/>
      <c r="K23"/>
      <c r="L23" s="63">
        <f t="shared" si="0"/>
        <v>0</v>
      </c>
    </row>
    <row r="24" spans="1:12" x14ac:dyDescent="0.2">
      <c r="A24" s="3" t="s">
        <v>50</v>
      </c>
      <c r="B24" s="63" t="e">
        <f>B20/100</f>
        <v>#VALUE!</v>
      </c>
      <c r="D24"/>
      <c r="E24"/>
      <c r="F24"/>
      <c r="G24"/>
      <c r="H24"/>
      <c r="I24" s="3" t="s">
        <v>50</v>
      </c>
      <c r="J24" s="63">
        <v>24000</v>
      </c>
      <c r="K24"/>
      <c r="L24" s="63" t="e">
        <f t="shared" si="0"/>
        <v>#VALUE!</v>
      </c>
    </row>
    <row r="25" spans="1:12" x14ac:dyDescent="0.2">
      <c r="A25" s="3" t="s">
        <v>51</v>
      </c>
      <c r="B25" s="63" t="e">
        <f>B21/100</f>
        <v>#VALUE!</v>
      </c>
      <c r="D25"/>
      <c r="E25"/>
      <c r="F25"/>
      <c r="G25"/>
      <c r="H25"/>
      <c r="I25" s="3" t="s">
        <v>51</v>
      </c>
      <c r="J25" s="63">
        <v>24000</v>
      </c>
      <c r="K25"/>
      <c r="L25" s="63" t="e">
        <f t="shared" si="0"/>
        <v>#VALUE!</v>
      </c>
    </row>
    <row r="26" spans="1:12" x14ac:dyDescent="0.2">
      <c r="B26" s="63"/>
      <c r="D26"/>
      <c r="E26"/>
      <c r="F26"/>
      <c r="G26"/>
      <c r="H26"/>
      <c r="J26" s="63"/>
      <c r="K26"/>
      <c r="L26" s="63">
        <f t="shared" si="0"/>
        <v>0</v>
      </c>
    </row>
    <row r="27" spans="1:12" x14ac:dyDescent="0.2">
      <c r="A27" s="59" t="s">
        <v>53</v>
      </c>
      <c r="B27" s="60"/>
      <c r="D27"/>
      <c r="E27"/>
      <c r="F27"/>
      <c r="G27"/>
      <c r="H27"/>
      <c r="I27" s="59" t="s">
        <v>53</v>
      </c>
      <c r="J27" s="60"/>
      <c r="K27"/>
      <c r="L27" s="63">
        <f t="shared" si="0"/>
        <v>0</v>
      </c>
    </row>
    <row r="28" spans="1:12" x14ac:dyDescent="0.2">
      <c r="A28" s="3" t="s">
        <v>54</v>
      </c>
      <c r="B28" s="3">
        <f>IF(B8=3,2,1)</f>
        <v>1</v>
      </c>
      <c r="D28"/>
      <c r="E28"/>
      <c r="F28"/>
      <c r="G28"/>
      <c r="H28"/>
      <c r="I28" s="3" t="s">
        <v>54</v>
      </c>
      <c r="J28" s="3">
        <v>1</v>
      </c>
      <c r="K28"/>
      <c r="L28" s="63">
        <f t="shared" si="0"/>
        <v>0</v>
      </c>
    </row>
    <row r="29" spans="1:12" x14ac:dyDescent="0.2">
      <c r="A29" s="3" t="s">
        <v>55</v>
      </c>
      <c r="B29" s="3">
        <v>1000</v>
      </c>
      <c r="I29" s="3" t="s">
        <v>55</v>
      </c>
      <c r="J29" s="3">
        <v>1000</v>
      </c>
      <c r="L29" s="63">
        <f t="shared" si="0"/>
        <v>0</v>
      </c>
    </row>
    <row r="30" spans="1:12" x14ac:dyDescent="0.2">
      <c r="A30" s="3" t="s">
        <v>56</v>
      </c>
      <c r="B30" s="3">
        <f>IF(B8=2,1308,0)</f>
        <v>0</v>
      </c>
      <c r="I30" s="3" t="s">
        <v>56</v>
      </c>
      <c r="J30" s="3">
        <v>0</v>
      </c>
      <c r="L30" s="63">
        <f t="shared" si="0"/>
        <v>0</v>
      </c>
    </row>
    <row r="31" spans="1:12" x14ac:dyDescent="0.2">
      <c r="A31" s="3" t="s">
        <v>57</v>
      </c>
      <c r="B31" s="3">
        <f>IF(B8&gt;5,0,36)</f>
        <v>36</v>
      </c>
      <c r="I31" s="3" t="s">
        <v>57</v>
      </c>
      <c r="J31" s="3">
        <v>36</v>
      </c>
      <c r="L31" s="63">
        <f t="shared" si="0"/>
        <v>0</v>
      </c>
    </row>
    <row r="32" spans="1:12" x14ac:dyDescent="0.2">
      <c r="A32" s="3" t="s">
        <v>58</v>
      </c>
      <c r="B32" s="3">
        <f>IF(B8&lt;4,B4*7008,IF(B8=4,B4*3504,0))</f>
        <v>0</v>
      </c>
      <c r="I32" s="3" t="s">
        <v>58</v>
      </c>
      <c r="J32" s="3">
        <v>0</v>
      </c>
      <c r="L32" s="63">
        <f t="shared" si="0"/>
        <v>0</v>
      </c>
    </row>
    <row r="33" spans="1:12" x14ac:dyDescent="0.2">
      <c r="A33" s="3" t="s">
        <v>59</v>
      </c>
      <c r="B33" s="3">
        <f>IF(B8=6,0,B29+B30+B31)</f>
        <v>1036</v>
      </c>
      <c r="C33" s="64"/>
      <c r="I33" s="3" t="s">
        <v>59</v>
      </c>
      <c r="J33" s="3">
        <v>1036</v>
      </c>
      <c r="L33" s="63">
        <f t="shared" si="0"/>
        <v>0</v>
      </c>
    </row>
    <row r="34" spans="1:12" x14ac:dyDescent="0.2">
      <c r="L34" s="63">
        <f t="shared" si="0"/>
        <v>0</v>
      </c>
    </row>
    <row r="35" spans="1:12" x14ac:dyDescent="0.2">
      <c r="A35" s="59" t="s">
        <v>60</v>
      </c>
      <c r="B35" s="65"/>
      <c r="I35" s="59" t="s">
        <v>60</v>
      </c>
      <c r="J35" s="65"/>
      <c r="L35" s="63">
        <f t="shared" si="0"/>
        <v>0</v>
      </c>
    </row>
    <row r="36" spans="1:12" x14ac:dyDescent="0.2">
      <c r="A36" s="3" t="s">
        <v>51</v>
      </c>
      <c r="B36" s="63" t="e">
        <f>MIN(B11,B25)</f>
        <v>#VALUE!</v>
      </c>
      <c r="I36" s="3" t="s">
        <v>51</v>
      </c>
      <c r="J36" s="63">
        <v>24000</v>
      </c>
      <c r="L36" s="63" t="e">
        <f t="shared" si="0"/>
        <v>#VALUE!</v>
      </c>
    </row>
    <row r="37" spans="1:12" x14ac:dyDescent="0.2">
      <c r="A37" s="3" t="s">
        <v>61</v>
      </c>
      <c r="B37" s="63" t="e">
        <f>IF(B6=1,0,ROUNDDOWN(0.56*B36*0.0945,2))</f>
        <v>#VALUE!</v>
      </c>
      <c r="I37" s="3" t="s">
        <v>61</v>
      </c>
      <c r="J37" s="63">
        <v>0</v>
      </c>
      <c r="L37" s="63" t="e">
        <f t="shared" si="0"/>
        <v>#VALUE!</v>
      </c>
    </row>
    <row r="38" spans="1:12" x14ac:dyDescent="0.2">
      <c r="A38" s="61" t="s">
        <v>62</v>
      </c>
      <c r="B38" s="63">
        <f>IF(B28=1,1900,3000)</f>
        <v>1900</v>
      </c>
      <c r="I38" s="61" t="s">
        <v>62</v>
      </c>
      <c r="J38" s="63">
        <v>1900</v>
      </c>
      <c r="L38" s="63">
        <f t="shared" si="0"/>
        <v>0</v>
      </c>
    </row>
    <row r="39" spans="1:12" x14ac:dyDescent="0.2">
      <c r="A39" s="61" t="s">
        <v>63</v>
      </c>
      <c r="B39" s="63" t="e">
        <f>MIN(B38,ROUNDDOWN(0.12*B36,2))</f>
        <v>#VALUE!</v>
      </c>
      <c r="I39" s="61" t="s">
        <v>63</v>
      </c>
      <c r="J39" s="63">
        <v>1900</v>
      </c>
      <c r="L39" s="63" t="e">
        <f t="shared" si="0"/>
        <v>#VALUE!</v>
      </c>
    </row>
    <row r="40" spans="1:12" x14ac:dyDescent="0.2">
      <c r="A40" s="61" t="e">
        <f xml:space="preserve"> IF(Berechnung!R16=0,"KVSatz=0",7 + Berechnung!R17 &amp; " % + PV")</f>
        <v>#VALUE!</v>
      </c>
      <c r="B40" s="66" t="e">
        <f>IF(Berechnung!R16=0,0,0.07+Berechnung!R17/100+B13)</f>
        <v>#VALUE!</v>
      </c>
      <c r="D40" s="52" t="e">
        <f>IF(B40=0,"","Vorsorgepauschale berücksichtigt: 7,0% (=reduzierter Beitragssatz) + Zusatzbeitrag: " &amp; Berechnung!R17 &amp; "% + " &amp; B13 &amp; " (PV)")</f>
        <v>#VALUE!</v>
      </c>
      <c r="I40" s="61" t="s">
        <v>133</v>
      </c>
      <c r="J40" s="66">
        <v>9.1750000000000012E-2</v>
      </c>
      <c r="L40" s="63" t="e">
        <f t="shared" si="0"/>
        <v>#VALUE!</v>
      </c>
    </row>
    <row r="41" spans="1:12" x14ac:dyDescent="0.2">
      <c r="A41" s="61" t="s">
        <v>64</v>
      </c>
      <c r="B41" s="63" t="e">
        <f>IF(B12&gt;0,B12,ROUNDDOWN(MIN(B25,48600)*B40*100,0)/100)</f>
        <v>#VALUE!</v>
      </c>
      <c r="D41" s="67"/>
      <c r="I41" s="61" t="s">
        <v>64</v>
      </c>
      <c r="J41" s="63">
        <v>2202</v>
      </c>
      <c r="L41" s="63" t="e">
        <f t="shared" si="0"/>
        <v>#VALUE!</v>
      </c>
    </row>
    <row r="42" spans="1:12" x14ac:dyDescent="0.2">
      <c r="A42" s="61" t="s">
        <v>65</v>
      </c>
      <c r="B42" s="63" t="e">
        <f>IF(B41&gt;B39,B41,B39)</f>
        <v>#VALUE!</v>
      </c>
      <c r="D42" s="100"/>
      <c r="I42" s="61" t="s">
        <v>65</v>
      </c>
      <c r="J42" s="63">
        <v>2202</v>
      </c>
      <c r="L42" s="63" t="e">
        <f t="shared" si="0"/>
        <v>#VALUE!</v>
      </c>
    </row>
    <row r="43" spans="1:12" x14ac:dyDescent="0.2">
      <c r="A43" s="61" t="s">
        <v>66</v>
      </c>
      <c r="B43" s="63" t="e">
        <f>ROUNDUP(B37+B42,0)</f>
        <v>#VALUE!</v>
      </c>
      <c r="D43" s="52"/>
      <c r="I43" s="61" t="s">
        <v>66</v>
      </c>
      <c r="J43" s="63">
        <v>2202</v>
      </c>
      <c r="L43" s="63" t="e">
        <f t="shared" si="0"/>
        <v>#VALUE!</v>
      </c>
    </row>
    <row r="44" spans="1:12" x14ac:dyDescent="0.2">
      <c r="A44" s="61"/>
      <c r="B44" s="63"/>
      <c r="I44" s="61"/>
      <c r="J44" s="63"/>
      <c r="L44" s="63">
        <f t="shared" si="0"/>
        <v>0</v>
      </c>
    </row>
    <row r="45" spans="1:12" x14ac:dyDescent="0.2">
      <c r="A45" s="59" t="s">
        <v>67</v>
      </c>
      <c r="B45" s="60"/>
      <c r="I45" s="59" t="s">
        <v>67</v>
      </c>
      <c r="J45" s="60"/>
      <c r="L45" s="63">
        <f t="shared" si="0"/>
        <v>0</v>
      </c>
    </row>
    <row r="46" spans="1:12" x14ac:dyDescent="0.2">
      <c r="A46" s="3" t="s">
        <v>68</v>
      </c>
      <c r="B46" s="55" t="e">
        <f>ROUNDDOWN(B24-B33-B43,0)</f>
        <v>#VALUE!</v>
      </c>
      <c r="I46" s="3" t="s">
        <v>68</v>
      </c>
      <c r="J46" s="55">
        <v>20762</v>
      </c>
      <c r="L46" s="63" t="e">
        <f t="shared" si="0"/>
        <v>#VALUE!</v>
      </c>
    </row>
    <row r="47" spans="1:12" x14ac:dyDescent="0.2">
      <c r="A47" s="3" t="s">
        <v>69</v>
      </c>
      <c r="B47" s="55" t="e">
        <f>MAX(0,ROUNDDOWN(B46/B28,0))</f>
        <v>#VALUE!</v>
      </c>
      <c r="I47" s="3" t="s">
        <v>69</v>
      </c>
      <c r="J47" s="55">
        <v>20762</v>
      </c>
      <c r="L47" s="63" t="e">
        <f t="shared" si="0"/>
        <v>#VALUE!</v>
      </c>
    </row>
    <row r="48" spans="1:12" x14ac:dyDescent="0.2">
      <c r="L48" s="63">
        <f t="shared" si="0"/>
        <v>0</v>
      </c>
    </row>
    <row r="49" spans="1:12" x14ac:dyDescent="0.2">
      <c r="A49" s="59" t="s">
        <v>130</v>
      </c>
      <c r="B49" s="60"/>
      <c r="I49" s="59" t="s">
        <v>130</v>
      </c>
      <c r="J49" s="60"/>
      <c r="L49" s="63">
        <f t="shared" si="0"/>
        <v>0</v>
      </c>
    </row>
    <row r="50" spans="1:12" x14ac:dyDescent="0.2">
      <c r="A50" s="3" t="s">
        <v>70</v>
      </c>
      <c r="B50" s="3" t="e">
        <f>IF(B47&lt;=8354,0,IF(B47&lt;=13469,INT((974.58*(B47-8354)/10000+1400)*(B47-8354)/10000),IF(B47&lt;=52881,INT((228.74*(B47-13469)/10000+2397)*(B47-13469)/10000+971),IF(B47&lt;=250730,INT(B47*0.42-8239),INT(B47*0.45-15761)))))*B28</f>
        <v>#VALUE!</v>
      </c>
      <c r="I50" s="3" t="s">
        <v>70</v>
      </c>
      <c r="J50" s="3">
        <v>2840</v>
      </c>
      <c r="L50" s="63" t="e">
        <f t="shared" si="0"/>
        <v>#VALUE!</v>
      </c>
    </row>
    <row r="51" spans="1:12" x14ac:dyDescent="0.2">
      <c r="A51" s="10"/>
      <c r="I51" s="10"/>
      <c r="L51" s="63">
        <f t="shared" si="0"/>
        <v>0</v>
      </c>
    </row>
    <row r="52" spans="1:12" x14ac:dyDescent="0.2">
      <c r="A52" s="59" t="s">
        <v>71</v>
      </c>
      <c r="B52" s="60"/>
      <c r="I52" s="59" t="s">
        <v>71</v>
      </c>
      <c r="J52" s="60"/>
      <c r="L52" s="63">
        <f t="shared" si="0"/>
        <v>0</v>
      </c>
    </row>
    <row r="53" spans="1:12" x14ac:dyDescent="0.2">
      <c r="B53" s="55"/>
      <c r="J53" s="55"/>
      <c r="L53" s="63">
        <f t="shared" si="0"/>
        <v>0</v>
      </c>
    </row>
    <row r="54" spans="1:12" x14ac:dyDescent="0.2">
      <c r="A54" s="3" t="s">
        <v>72</v>
      </c>
      <c r="B54" s="55" t="e">
        <f>MIN(26441,B47)*1.25</f>
        <v>#VALUE!</v>
      </c>
      <c r="I54" s="3" t="s">
        <v>72</v>
      </c>
      <c r="J54" s="55">
        <v>25952.5</v>
      </c>
      <c r="L54" s="63" t="e">
        <f t="shared" si="0"/>
        <v>#VALUE!</v>
      </c>
    </row>
    <row r="55" spans="1:12" x14ac:dyDescent="0.2">
      <c r="A55" s="3" t="s">
        <v>73</v>
      </c>
      <c r="B55" s="3" t="e">
        <f>IF(B54&lt;=8354,0,IF(B54&lt;=13469,INT((974.58*(B54-8354)/10000+1400)*(B54-8354)/10000),IF(B54&lt;=52881,INT((228.74*(B54-13469)/10000+2397)*(B54-13469)/10000+971),IF(B54&lt;=250730,INT(B54*0.42-8239),INT(B54*0.45-15761)))))</f>
        <v>#VALUE!</v>
      </c>
      <c r="I55" s="3" t="s">
        <v>73</v>
      </c>
      <c r="J55" s="3">
        <v>4319</v>
      </c>
      <c r="L55" s="63" t="e">
        <f t="shared" si="0"/>
        <v>#VALUE!</v>
      </c>
    </row>
    <row r="56" spans="1:12" x14ac:dyDescent="0.2">
      <c r="A56" s="3" t="s">
        <v>72</v>
      </c>
      <c r="B56" s="55" t="e">
        <f>MIN(26441,B47)*0.75</f>
        <v>#VALUE!</v>
      </c>
      <c r="I56" s="3" t="s">
        <v>72</v>
      </c>
      <c r="J56" s="55">
        <v>15571.5</v>
      </c>
      <c r="L56" s="63" t="e">
        <f t="shared" si="0"/>
        <v>#VALUE!</v>
      </c>
    </row>
    <row r="57" spans="1:12" x14ac:dyDescent="0.2">
      <c r="A57" s="3" t="s">
        <v>74</v>
      </c>
      <c r="B57" s="3" t="e">
        <f>IF(B56&lt;=8354,0,IF(B56&lt;=13469,INT((974.58*(B56-8354)/10000+1400)*(B56-8354)/10000),IF(B56&lt;=52881,INT((228.74*(B56-13469)/10000+2397)*(B56-13469)/10000+971),IF(B56&lt;=250730,INT(B56*0.42-8239),INT(B56*0.45-15761)))))</f>
        <v>#VALUE!</v>
      </c>
      <c r="I57" s="3" t="s">
        <v>74</v>
      </c>
      <c r="J57" s="3">
        <v>1485</v>
      </c>
      <c r="L57" s="63" t="e">
        <f t="shared" si="0"/>
        <v>#VALUE!</v>
      </c>
    </row>
    <row r="58" spans="1:12" x14ac:dyDescent="0.2">
      <c r="A58" s="3" t="s">
        <v>75</v>
      </c>
      <c r="B58" s="55" t="e">
        <f>(B55-B57)*2</f>
        <v>#VALUE!</v>
      </c>
      <c r="I58" s="3" t="s">
        <v>75</v>
      </c>
      <c r="J58" s="55">
        <v>5668</v>
      </c>
      <c r="L58" s="63" t="e">
        <f t="shared" si="0"/>
        <v>#VALUE!</v>
      </c>
    </row>
    <row r="59" spans="1:12" x14ac:dyDescent="0.2">
      <c r="A59" s="3" t="s">
        <v>76</v>
      </c>
      <c r="B59" s="3" t="e">
        <f>ROUNDDOWN(MIN(B47,26441)*0.14,0)</f>
        <v>#VALUE!</v>
      </c>
      <c r="I59" s="3" t="s">
        <v>76</v>
      </c>
      <c r="J59" s="3">
        <v>2906</v>
      </c>
      <c r="L59" s="63" t="e">
        <f t="shared" si="0"/>
        <v>#VALUE!</v>
      </c>
    </row>
    <row r="60" spans="1:12" x14ac:dyDescent="0.2">
      <c r="A60" s="3" t="s">
        <v>70</v>
      </c>
      <c r="B60" s="55" t="e">
        <f>MAX(B58,B59)</f>
        <v>#VALUE!</v>
      </c>
      <c r="I60" s="3" t="s">
        <v>70</v>
      </c>
      <c r="J60" s="55">
        <v>5668</v>
      </c>
      <c r="L60" s="63" t="e">
        <f t="shared" si="0"/>
        <v>#VALUE!</v>
      </c>
    </row>
    <row r="61" spans="1:12" x14ac:dyDescent="0.2">
      <c r="A61" s="3" t="s">
        <v>70</v>
      </c>
      <c r="B61" s="55" t="e">
        <f>IF(B47&gt;200584,(200584 - 26441)*0.42 + B60,ROUNDDOWN(MAX(B47-26441,0)*0.42+B60,0))</f>
        <v>#VALUE!</v>
      </c>
      <c r="I61" s="3" t="s">
        <v>70</v>
      </c>
      <c r="J61" s="55">
        <v>5668</v>
      </c>
      <c r="L61" s="63" t="e">
        <f t="shared" si="0"/>
        <v>#VALUE!</v>
      </c>
    </row>
    <row r="62" spans="1:12" x14ac:dyDescent="0.2">
      <c r="A62" s="3" t="s">
        <v>77</v>
      </c>
      <c r="B62" s="3" t="e">
        <f>IF(AND(B47&gt;9763,B47&lt;=26441),B60,0)</f>
        <v>#VALUE!</v>
      </c>
      <c r="D62" s="55"/>
      <c r="I62" s="3" t="s">
        <v>77</v>
      </c>
      <c r="J62" s="3">
        <v>5668</v>
      </c>
      <c r="L62" s="63" t="e">
        <f t="shared" si="0"/>
        <v>#VALUE!</v>
      </c>
    </row>
    <row r="63" spans="1:12" x14ac:dyDescent="0.2">
      <c r="A63" s="3" t="s">
        <v>70</v>
      </c>
      <c r="B63" s="55">
        <v>1366</v>
      </c>
      <c r="D63" s="101" t="s">
        <v>132</v>
      </c>
      <c r="I63" s="3" t="s">
        <v>70</v>
      </c>
      <c r="J63" s="55">
        <v>1366</v>
      </c>
      <c r="L63" s="63">
        <f t="shared" si="0"/>
        <v>0</v>
      </c>
    </row>
    <row r="64" spans="1:12" x14ac:dyDescent="0.2">
      <c r="A64" s="3" t="s">
        <v>70</v>
      </c>
      <c r="B64" s="55" t="e">
        <f xml:space="preserve"> MIN(ROUNDDOWN(MAX(B47-9763,0)*0.42+B63,0),B61)</f>
        <v>#VALUE!</v>
      </c>
      <c r="I64" s="3" t="s">
        <v>70</v>
      </c>
      <c r="J64" s="55">
        <v>5668</v>
      </c>
      <c r="L64" s="63" t="e">
        <f t="shared" si="0"/>
        <v>#VALUE!</v>
      </c>
    </row>
    <row r="65" spans="1:12" x14ac:dyDescent="0.2">
      <c r="A65" s="3" t="s">
        <v>78</v>
      </c>
      <c r="B65" s="55" t="e">
        <f>ROUNDDOWN(MAX(B47-200584,0)*0.45+B64,0)</f>
        <v>#VALUE!</v>
      </c>
      <c r="I65" s="3" t="s">
        <v>78</v>
      </c>
      <c r="J65" s="55">
        <v>5668</v>
      </c>
      <c r="L65" s="63" t="e">
        <f t="shared" si="0"/>
        <v>#VALUE!</v>
      </c>
    </row>
    <row r="66" spans="1:12" x14ac:dyDescent="0.2">
      <c r="A66" s="3" t="s">
        <v>79</v>
      </c>
      <c r="B66" s="3" t="e">
        <f>ROUNDDOWN(IF(B8&lt;5,B50,B65)*B14,0)</f>
        <v>#VALUE!</v>
      </c>
      <c r="D66" s="3" t="s">
        <v>80</v>
      </c>
      <c r="I66" s="3" t="s">
        <v>79</v>
      </c>
      <c r="J66" s="3">
        <v>2840</v>
      </c>
      <c r="L66" s="63" t="e">
        <f t="shared" si="0"/>
        <v>#VALUE!</v>
      </c>
    </row>
    <row r="67" spans="1:12" x14ac:dyDescent="0.2">
      <c r="A67" s="3" t="s">
        <v>81</v>
      </c>
      <c r="B67" s="3" t="e">
        <f>B66*100</f>
        <v>#VALUE!</v>
      </c>
      <c r="D67" s="3" t="s">
        <v>82</v>
      </c>
      <c r="I67" s="3" t="s">
        <v>81</v>
      </c>
      <c r="J67" s="3">
        <v>284000</v>
      </c>
      <c r="L67" s="63" t="e">
        <f t="shared" si="0"/>
        <v>#VALUE!</v>
      </c>
    </row>
    <row r="68" spans="1:12" x14ac:dyDescent="0.2">
      <c r="D68" s="3" t="s">
        <v>83</v>
      </c>
      <c r="L68" s="63">
        <f t="shared" ref="L68:L92" si="1">+B68-J68</f>
        <v>0</v>
      </c>
    </row>
    <row r="69" spans="1:12" x14ac:dyDescent="0.2">
      <c r="A69" s="59" t="s">
        <v>84</v>
      </c>
      <c r="B69" s="60"/>
      <c r="I69" s="59" t="s">
        <v>84</v>
      </c>
      <c r="J69" s="60"/>
      <c r="L69" s="63">
        <f t="shared" si="1"/>
        <v>0</v>
      </c>
    </row>
    <row r="70" spans="1:12" x14ac:dyDescent="0.2">
      <c r="L70" s="63">
        <f t="shared" si="1"/>
        <v>0</v>
      </c>
    </row>
    <row r="71" spans="1:12" x14ac:dyDescent="0.2">
      <c r="A71" s="3" t="s">
        <v>85</v>
      </c>
      <c r="B71" s="3" t="e">
        <f>IF(B5=1,B67,IF(B5=2,ROUNDDOWN(B67/12,0),IF(B5=3,ROUNDDOWN((B67*7)/360,0),ROUNDDOWN(B67/360,0))))</f>
        <v>#VALUE!</v>
      </c>
      <c r="I71" s="3" t="s">
        <v>85</v>
      </c>
      <c r="J71" s="3">
        <v>23666</v>
      </c>
      <c r="L71" s="63" t="e">
        <f t="shared" si="1"/>
        <v>#VALUE!</v>
      </c>
    </row>
    <row r="72" spans="1:12" x14ac:dyDescent="0.2">
      <c r="A72" s="3" t="s">
        <v>59</v>
      </c>
      <c r="B72" s="3">
        <f>B32+B33</f>
        <v>1036</v>
      </c>
      <c r="I72" s="3" t="s">
        <v>59</v>
      </c>
      <c r="J72" s="3">
        <v>1036</v>
      </c>
      <c r="L72" s="63">
        <f t="shared" si="1"/>
        <v>0</v>
      </c>
    </row>
    <row r="73" spans="1:12" x14ac:dyDescent="0.2">
      <c r="A73" s="3" t="s">
        <v>68</v>
      </c>
      <c r="B73" s="55" t="e">
        <f>B24-B43-B72</f>
        <v>#VALUE!</v>
      </c>
      <c r="I73" s="3" t="s">
        <v>68</v>
      </c>
      <c r="J73" s="55">
        <v>20762</v>
      </c>
      <c r="L73" s="63" t="e">
        <f t="shared" si="1"/>
        <v>#VALUE!</v>
      </c>
    </row>
    <row r="74" spans="1:12" x14ac:dyDescent="0.2">
      <c r="A74" s="3" t="s">
        <v>86</v>
      </c>
      <c r="B74" s="3" t="e">
        <f>IF(B73&lt;36,0,ROUNDDOWN(B73/B28,0))</f>
        <v>#VALUE!</v>
      </c>
      <c r="I74" s="3" t="s">
        <v>86</v>
      </c>
      <c r="J74" s="3">
        <v>20762</v>
      </c>
      <c r="L74" s="63" t="e">
        <f t="shared" si="1"/>
        <v>#VALUE!</v>
      </c>
    </row>
    <row r="75" spans="1:12" x14ac:dyDescent="0.2">
      <c r="A75" s="3" t="s">
        <v>70</v>
      </c>
      <c r="B75" s="3" t="e">
        <f>IF(B74&lt;=8354,0,IF(B74&lt;=13469,INT((974.58*(B74-8354)/10000+1400)*(B74-8354)/10000),IF(B74&lt;=52881,INT((228.74*(B74-13469)/10000+2397)*(B74-13469)/10000+971),IF(B74&lt;=250730,INT(B74*0.42-8239),INT(B74*0.45-15761)))))</f>
        <v>#VALUE!</v>
      </c>
      <c r="D75" s="3" t="s">
        <v>80</v>
      </c>
      <c r="I75" s="3" t="s">
        <v>70</v>
      </c>
      <c r="J75" s="3">
        <v>2840</v>
      </c>
      <c r="L75" s="63" t="e">
        <f t="shared" si="1"/>
        <v>#VALUE!</v>
      </c>
    </row>
    <row r="76" spans="1:12" x14ac:dyDescent="0.2">
      <c r="A76" s="3" t="s">
        <v>87</v>
      </c>
      <c r="B76" s="3" t="e">
        <f>IF(B4&gt;0,ROUNDDOWN(B75*B14,0),B66)</f>
        <v>#VALUE!</v>
      </c>
      <c r="D76" s="3" t="s">
        <v>88</v>
      </c>
      <c r="I76" s="3" t="s">
        <v>87</v>
      </c>
      <c r="J76" s="3">
        <v>2840</v>
      </c>
      <c r="L76" s="63" t="e">
        <f t="shared" si="1"/>
        <v>#VALUE!</v>
      </c>
    </row>
    <row r="77" spans="1:12" x14ac:dyDescent="0.2">
      <c r="L77" s="63">
        <f t="shared" si="1"/>
        <v>0</v>
      </c>
    </row>
    <row r="78" spans="1:12" x14ac:dyDescent="0.2">
      <c r="A78" s="59" t="s">
        <v>89</v>
      </c>
      <c r="B78" s="60"/>
      <c r="I78" s="59" t="s">
        <v>89</v>
      </c>
      <c r="J78" s="60"/>
      <c r="L78" s="63">
        <f t="shared" si="1"/>
        <v>0</v>
      </c>
    </row>
    <row r="79" spans="1:12" x14ac:dyDescent="0.2">
      <c r="A79" s="3" t="s">
        <v>90</v>
      </c>
      <c r="B79" s="3">
        <f>972*B28</f>
        <v>972</v>
      </c>
      <c r="I79" s="3" t="s">
        <v>90</v>
      </c>
      <c r="J79" s="3">
        <v>972</v>
      </c>
      <c r="L79" s="63">
        <f t="shared" si="1"/>
        <v>0</v>
      </c>
    </row>
    <row r="80" spans="1:12" x14ac:dyDescent="0.2">
      <c r="A80" s="3" t="s">
        <v>91</v>
      </c>
      <c r="B80" s="63" t="e">
        <f>ROUNDDOWN((B76*5.5)/100,2)</f>
        <v>#VALUE!</v>
      </c>
      <c r="I80" s="3" t="s">
        <v>91</v>
      </c>
      <c r="J80" s="63">
        <v>156.19999999999999</v>
      </c>
      <c r="L80" s="63" t="e">
        <f t="shared" si="1"/>
        <v>#VALUE!</v>
      </c>
    </row>
    <row r="81" spans="1:12" x14ac:dyDescent="0.2">
      <c r="A81" s="3" t="s">
        <v>92</v>
      </c>
      <c r="B81" s="63" t="e">
        <f>((B76-B79)*20)/100</f>
        <v>#VALUE!</v>
      </c>
      <c r="I81" s="3" t="s">
        <v>92</v>
      </c>
      <c r="J81" s="63">
        <v>373.6</v>
      </c>
      <c r="L81" s="63" t="e">
        <f t="shared" si="1"/>
        <v>#VALUE!</v>
      </c>
    </row>
    <row r="82" spans="1:12" x14ac:dyDescent="0.2">
      <c r="A82" s="3" t="s">
        <v>91</v>
      </c>
      <c r="B82" s="63" t="e">
        <f>MIN(B81,B80)</f>
        <v>#VALUE!</v>
      </c>
      <c r="E82" s="63"/>
      <c r="I82" s="3" t="s">
        <v>91</v>
      </c>
      <c r="J82" s="63">
        <v>156.19999999999999</v>
      </c>
      <c r="L82" s="63" t="e">
        <f t="shared" si="1"/>
        <v>#VALUE!</v>
      </c>
    </row>
    <row r="83" spans="1:12" x14ac:dyDescent="0.2">
      <c r="A83" s="3" t="s">
        <v>81</v>
      </c>
      <c r="B83" s="3" t="e">
        <f>B82*100</f>
        <v>#VALUE!</v>
      </c>
      <c r="I83" s="3" t="s">
        <v>81</v>
      </c>
      <c r="J83" s="3">
        <v>15620</v>
      </c>
      <c r="L83" s="63" t="e">
        <f t="shared" si="1"/>
        <v>#VALUE!</v>
      </c>
    </row>
    <row r="84" spans="1:12" x14ac:dyDescent="0.2">
      <c r="L84" s="63">
        <f t="shared" si="1"/>
        <v>0</v>
      </c>
    </row>
    <row r="85" spans="1:12" x14ac:dyDescent="0.2">
      <c r="A85" s="59" t="s">
        <v>93</v>
      </c>
      <c r="B85" s="60"/>
      <c r="I85" s="59" t="s">
        <v>93</v>
      </c>
      <c r="J85" s="60"/>
      <c r="L85" s="63">
        <f t="shared" si="1"/>
        <v>0</v>
      </c>
    </row>
    <row r="86" spans="1:12" x14ac:dyDescent="0.2">
      <c r="A86" s="3" t="s">
        <v>94</v>
      </c>
      <c r="B86" s="3" t="e">
        <f>ROUNDDOWN(IF(B5=1,B83,IF(B5=2,B83/12,IF(B5=3,(B83*7)/360,B83/360))),0)</f>
        <v>#VALUE!</v>
      </c>
      <c r="I86" s="3" t="s">
        <v>94</v>
      </c>
      <c r="J86" s="3">
        <v>1301</v>
      </c>
      <c r="L86" s="63" t="e">
        <f t="shared" si="1"/>
        <v>#VALUE!</v>
      </c>
    </row>
    <row r="87" spans="1:12" x14ac:dyDescent="0.2">
      <c r="A87" s="3" t="s">
        <v>95</v>
      </c>
      <c r="B87" s="3" t="e">
        <f>IF(B76&gt;B79,B86,0)</f>
        <v>#VALUE!</v>
      </c>
      <c r="I87" s="3" t="s">
        <v>95</v>
      </c>
      <c r="J87" s="3">
        <v>1301</v>
      </c>
      <c r="L87" s="63" t="e">
        <f t="shared" si="1"/>
        <v>#VALUE!</v>
      </c>
    </row>
    <row r="88" spans="1:12" x14ac:dyDescent="0.2">
      <c r="A88" s="3" t="s">
        <v>81</v>
      </c>
      <c r="B88" s="3" t="e">
        <f>B76*100</f>
        <v>#VALUE!</v>
      </c>
      <c r="I88" s="3" t="s">
        <v>81</v>
      </c>
      <c r="J88" s="3">
        <v>284000</v>
      </c>
      <c r="L88" s="63" t="e">
        <f t="shared" si="1"/>
        <v>#VALUE!</v>
      </c>
    </row>
    <row r="89" spans="1:12" x14ac:dyDescent="0.2">
      <c r="L89" s="63">
        <f t="shared" si="1"/>
        <v>0</v>
      </c>
    </row>
    <row r="90" spans="1:12" x14ac:dyDescent="0.2">
      <c r="A90" s="59" t="s">
        <v>96</v>
      </c>
      <c r="B90" s="60"/>
      <c r="I90" s="59" t="s">
        <v>96</v>
      </c>
      <c r="J90" s="60"/>
      <c r="L90" s="63">
        <f t="shared" si="1"/>
        <v>0</v>
      </c>
    </row>
    <row r="91" spans="1:12" x14ac:dyDescent="0.2">
      <c r="A91" s="3" t="s">
        <v>94</v>
      </c>
      <c r="B91" s="3" t="e">
        <f>ROUNDDOWN(IF(B5=1,B88,IF(B5=2,B88/12,IF(B5=3,(B88*7)/360,B88/360))),0)</f>
        <v>#VALUE!</v>
      </c>
      <c r="I91" s="3" t="s">
        <v>94</v>
      </c>
      <c r="J91" s="3">
        <v>23666</v>
      </c>
      <c r="L91" s="63" t="e">
        <f t="shared" si="1"/>
        <v>#VALUE!</v>
      </c>
    </row>
    <row r="92" spans="1:12" x14ac:dyDescent="0.2">
      <c r="A92" s="3" t="s">
        <v>96</v>
      </c>
      <c r="B92" s="3" t="e">
        <f>B91</f>
        <v>#VALUE!</v>
      </c>
      <c r="I92" s="3" t="s">
        <v>96</v>
      </c>
      <c r="J92" s="3">
        <v>23666</v>
      </c>
      <c r="L92" s="63" t="e">
        <f t="shared" si="1"/>
        <v>#VALUE!</v>
      </c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9"/>
  <dimension ref="A1:B2"/>
  <sheetViews>
    <sheetView workbookViewId="0"/>
  </sheetViews>
  <sheetFormatPr baseColWidth="10" defaultRowHeight="12.75" x14ac:dyDescent="0.2"/>
  <sheetData>
    <row r="1" spans="1:2" x14ac:dyDescent="0.2">
      <c r="A1" t="s">
        <v>125</v>
      </c>
      <c r="B1" t="s">
        <v>126</v>
      </c>
    </row>
    <row r="2" spans="1:2" x14ac:dyDescent="0.2">
      <c r="A2" t="s">
        <v>127</v>
      </c>
      <c r="B2" t="s">
        <v>128</v>
      </c>
    </row>
  </sheetData>
  <phoneticPr fontId="35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fitToPage="1"/>
  </sheetPr>
  <dimension ref="B2:X41"/>
  <sheetViews>
    <sheetView showGridLines="0" zoomScaleNormal="100" workbookViewId="0">
      <selection activeCell="AF18" sqref="AF18"/>
    </sheetView>
  </sheetViews>
  <sheetFormatPr baseColWidth="10" defaultRowHeight="12.75" x14ac:dyDescent="0.2"/>
  <cols>
    <col min="2" max="2" width="2.42578125" customWidth="1"/>
    <col min="3" max="3" width="0" hidden="1" customWidth="1"/>
    <col min="4" max="4" width="16.28515625" customWidth="1"/>
    <col min="5" max="5" width="16.42578125" customWidth="1"/>
    <col min="6" max="6" width="15.85546875" customWidth="1"/>
    <col min="7" max="7" width="3.42578125" customWidth="1"/>
    <col min="8" max="8" width="10.140625" bestFit="1" customWidth="1"/>
    <col min="9" max="9" width="12.42578125" customWidth="1"/>
    <col min="10" max="10" width="2" customWidth="1"/>
    <col min="11" max="11" width="17.140625" customWidth="1"/>
    <col min="12" max="12" width="12.85546875" hidden="1" customWidth="1"/>
    <col min="13" max="13" width="3.7109375" hidden="1" customWidth="1"/>
    <col min="14" max="14" width="2.7109375" customWidth="1"/>
    <col min="16" max="16" width="11.42578125" hidden="1" customWidth="1"/>
    <col min="17" max="17" width="3" hidden="1" customWidth="1"/>
    <col min="18" max="18" width="19.85546875" hidden="1" customWidth="1"/>
    <col min="19" max="19" width="11.42578125" hidden="1" customWidth="1"/>
    <col min="20" max="24" width="11.5703125" hidden="1" customWidth="1"/>
    <col min="25" max="25" width="11.5703125" customWidth="1"/>
  </cols>
  <sheetData>
    <row r="2" spans="2:22" ht="13.5" thickBot="1" x14ac:dyDescent="0.25">
      <c r="N2" s="49" t="s">
        <v>10</v>
      </c>
    </row>
    <row r="3" spans="2:22" s="72" customFormat="1" ht="23.25" customHeight="1" thickBot="1" x14ac:dyDescent="0.25">
      <c r="B3" s="450" t="s">
        <v>212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2"/>
    </row>
    <row r="4" spans="2:22" ht="12" customHeight="1" thickBot="1" x14ac:dyDescent="0.25">
      <c r="B4" s="74"/>
      <c r="C4" s="75"/>
      <c r="D4" s="76"/>
      <c r="E4" s="76"/>
      <c r="F4" s="76"/>
      <c r="G4" s="76"/>
      <c r="H4" s="76"/>
      <c r="I4" s="76"/>
      <c r="J4" s="76"/>
      <c r="K4" s="75"/>
      <c r="L4" s="75"/>
      <c r="M4" s="75"/>
      <c r="N4" s="77"/>
    </row>
    <row r="5" spans="2:22" ht="13.5" thickBot="1" x14ac:dyDescent="0.25">
      <c r="B5" s="78"/>
      <c r="C5" s="79"/>
      <c r="D5" s="80" t="s">
        <v>97</v>
      </c>
      <c r="E5" s="81"/>
      <c r="F5" s="81"/>
      <c r="G5" s="81"/>
      <c r="H5" s="68"/>
      <c r="I5" s="81"/>
      <c r="J5" s="81"/>
      <c r="K5" s="80" t="str">
        <f>+IF(ISNUMBER(H5),"","Wert eingeben")</f>
        <v>Wert eingeben</v>
      </c>
      <c r="L5" s="82">
        <f>+H5</f>
        <v>0</v>
      </c>
      <c r="M5" s="79"/>
      <c r="N5" s="83"/>
      <c r="R5" s="127" t="s">
        <v>109</v>
      </c>
      <c r="S5" s="359"/>
      <c r="T5" s="363" t="s">
        <v>204</v>
      </c>
      <c r="V5" s="137">
        <f>+IF(ISNUMBER(H5),1,0)</f>
        <v>0</v>
      </c>
    </row>
    <row r="6" spans="2:22" x14ac:dyDescent="0.2">
      <c r="B6" s="78"/>
      <c r="C6" s="79"/>
      <c r="D6" s="79" t="s">
        <v>117</v>
      </c>
      <c r="E6" s="79"/>
      <c r="F6" s="79"/>
      <c r="G6" s="79"/>
      <c r="H6" s="96"/>
      <c r="I6" s="79"/>
      <c r="J6" s="79"/>
      <c r="K6" s="80" t="str">
        <f>+IF(H6="","Wert eingeben","")</f>
        <v>Wert eingeben</v>
      </c>
      <c r="L6" s="84">
        <f t="shared" ref="L6:L12" si="0">+P6</f>
        <v>1</v>
      </c>
      <c r="M6" s="79"/>
      <c r="N6" s="83"/>
      <c r="P6" s="126">
        <f>+IF(H6="Jahr",1,IF(H6="Monat",2,IF(H6="Woche",3,IF(H6="Tag",4,1))))</f>
        <v>1</v>
      </c>
      <c r="Q6" s="54"/>
      <c r="R6" s="128" t="s">
        <v>101</v>
      </c>
      <c r="S6" s="360">
        <v>1</v>
      </c>
      <c r="T6" s="364" t="str">
        <f>IF($H$18=R6,S6,"")</f>
        <v/>
      </c>
      <c r="V6" s="137">
        <f>+IF(H6="",0,1)</f>
        <v>0</v>
      </c>
    </row>
    <row r="7" spans="2:22" x14ac:dyDescent="0.2">
      <c r="B7" s="78"/>
      <c r="C7" s="79"/>
      <c r="D7" s="79" t="s">
        <v>115</v>
      </c>
      <c r="E7" s="79"/>
      <c r="F7" s="79"/>
      <c r="G7" s="79"/>
      <c r="H7" s="96"/>
      <c r="I7" s="79"/>
      <c r="J7" s="79"/>
      <c r="K7" s="80" t="str">
        <f>+IF(ISNUMBER(H7),"","Wert eingeben")</f>
        <v>Wert eingeben</v>
      </c>
      <c r="L7" s="84">
        <f t="shared" si="0"/>
        <v>1</v>
      </c>
      <c r="M7" s="79"/>
      <c r="N7" s="83"/>
      <c r="P7" s="126">
        <f>+IF(ISNUMBER(H7),H7,1)</f>
        <v>1</v>
      </c>
      <c r="Q7" s="54"/>
      <c r="R7" s="129" t="s">
        <v>102</v>
      </c>
      <c r="S7" s="361">
        <v>2</v>
      </c>
      <c r="T7" s="364" t="str">
        <f t="shared" ref="T7:T25" si="1">IF($H$18=R7,S7,"")</f>
        <v/>
      </c>
      <c r="V7" s="137">
        <f>+IF(H7="",0,1)</f>
        <v>0</v>
      </c>
    </row>
    <row r="8" spans="2:22" x14ac:dyDescent="0.2">
      <c r="B8" s="78"/>
      <c r="C8" s="79"/>
      <c r="D8" s="80" t="s">
        <v>112</v>
      </c>
      <c r="E8" s="79"/>
      <c r="F8" s="79"/>
      <c r="G8" s="85"/>
      <c r="H8" s="138">
        <v>0.55500000000000005</v>
      </c>
      <c r="I8" s="85"/>
      <c r="J8" s="85"/>
      <c r="K8" s="80" t="str">
        <f>IF(H7&lt;&gt;4,"",IF(ISNUMBER(H8),"","Wert eingeben"))</f>
        <v/>
      </c>
      <c r="L8" s="86">
        <f t="shared" si="0"/>
        <v>0.55500000000000005</v>
      </c>
      <c r="M8" s="79"/>
      <c r="N8" s="83"/>
      <c r="P8" s="126">
        <f>+IF(ISNUMBER(H8),H8,1)</f>
        <v>0.55500000000000005</v>
      </c>
      <c r="Q8" s="54"/>
      <c r="R8" s="129" t="s">
        <v>103</v>
      </c>
      <c r="S8" s="361">
        <v>3</v>
      </c>
      <c r="T8" s="364" t="str">
        <f t="shared" si="1"/>
        <v/>
      </c>
      <c r="V8" s="137">
        <f>+IF(AND(H7=4,H8=""),0,1)</f>
        <v>1</v>
      </c>
    </row>
    <row r="9" spans="2:22" x14ac:dyDescent="0.2">
      <c r="B9" s="78"/>
      <c r="C9" s="79"/>
      <c r="D9" s="79" t="s">
        <v>114</v>
      </c>
      <c r="E9" s="79"/>
      <c r="F9" s="79"/>
      <c r="G9" s="79"/>
      <c r="H9" s="455"/>
      <c r="I9" s="456"/>
      <c r="J9" s="79"/>
      <c r="K9" s="80" t="str">
        <f>+IF(H9="","LSt-Tabelle wählen","")</f>
        <v>LSt-Tabelle wählen</v>
      </c>
      <c r="L9" s="84">
        <f t="shared" si="0"/>
        <v>0</v>
      </c>
      <c r="M9" s="79"/>
      <c r="N9" s="83"/>
      <c r="P9" s="126">
        <f>+IF(H9="Allgemeine LSt-Tabelle",0,IF(H9="Besondere LSt-Tabelle",1,0))</f>
        <v>0</v>
      </c>
      <c r="Q9" s="54"/>
      <c r="R9" s="129" t="s">
        <v>104</v>
      </c>
      <c r="S9" s="361">
        <v>4</v>
      </c>
      <c r="T9" s="364" t="str">
        <f t="shared" si="1"/>
        <v/>
      </c>
      <c r="V9" s="137">
        <f>+IF(H9="",0,1)</f>
        <v>0</v>
      </c>
    </row>
    <row r="10" spans="2:22" x14ac:dyDescent="0.2">
      <c r="B10" s="78"/>
      <c r="C10" s="79"/>
      <c r="D10" s="79" t="s">
        <v>113</v>
      </c>
      <c r="E10" s="79"/>
      <c r="F10" s="79"/>
      <c r="G10" s="79"/>
      <c r="H10" s="96"/>
      <c r="I10" s="79"/>
      <c r="J10" s="79"/>
      <c r="K10" s="80" t="str">
        <f>+IF(ISNUMBER(H10),"","Wert eingeben")</f>
        <v>Wert eingeben</v>
      </c>
      <c r="L10" s="84">
        <f t="shared" si="0"/>
        <v>0</v>
      </c>
      <c r="M10" s="79"/>
      <c r="N10" s="83"/>
      <c r="P10" s="126">
        <f>+IF(ISNUMBER(H10),H10,0)</f>
        <v>0</v>
      </c>
      <c r="Q10" s="54"/>
      <c r="R10" s="129" t="s">
        <v>105</v>
      </c>
      <c r="S10" s="361">
        <v>5</v>
      </c>
      <c r="T10" s="364" t="str">
        <f t="shared" si="1"/>
        <v/>
      </c>
      <c r="V10" s="137">
        <f>+IF(ISNUMBER(H10),1,0)</f>
        <v>0</v>
      </c>
    </row>
    <row r="11" spans="2:22" x14ac:dyDescent="0.2">
      <c r="B11" s="78"/>
      <c r="C11" s="79"/>
      <c r="D11" s="79" t="s">
        <v>116</v>
      </c>
      <c r="E11" s="79"/>
      <c r="F11" s="79"/>
      <c r="G11" s="79"/>
      <c r="H11" s="97"/>
      <c r="I11" s="79"/>
      <c r="J11" s="79"/>
      <c r="K11" s="80" t="str">
        <f>+IF(ISNUMBER(H11),"","Wert eingeben")</f>
        <v>Wert eingeben</v>
      </c>
      <c r="L11" s="84">
        <f>+P11</f>
        <v>0</v>
      </c>
      <c r="M11" s="79"/>
      <c r="N11" s="83"/>
      <c r="P11" s="126">
        <f>+IF(ISNUMBER(H11),H11*100,0)</f>
        <v>0</v>
      </c>
      <c r="Q11" s="54"/>
      <c r="R11" s="129" t="s">
        <v>106</v>
      </c>
      <c r="S11" s="361">
        <v>6</v>
      </c>
      <c r="T11" s="364" t="str">
        <f t="shared" si="1"/>
        <v/>
      </c>
      <c r="V11" s="137">
        <f>+IF(ISNUMBER(H11),1,0)</f>
        <v>0</v>
      </c>
    </row>
    <row r="12" spans="2:22" x14ac:dyDescent="0.2">
      <c r="B12" s="78"/>
      <c r="C12" s="79"/>
      <c r="D12" s="79" t="s">
        <v>118</v>
      </c>
      <c r="E12" s="79"/>
      <c r="F12" s="79"/>
      <c r="G12" s="79"/>
      <c r="H12" s="96"/>
      <c r="I12" s="79"/>
      <c r="J12" s="79"/>
      <c r="K12" s="80" t="str">
        <f>+IF(ISNUMBER(H12),"","Wert eingeben")</f>
        <v>Wert eingeben</v>
      </c>
      <c r="L12" s="87">
        <f t="shared" si="0"/>
        <v>15.5</v>
      </c>
      <c r="M12" s="79"/>
      <c r="N12" s="83"/>
      <c r="P12" s="126">
        <f>+IF(ISNUMBER(H12),H12,15.5)</f>
        <v>15.5</v>
      </c>
      <c r="Q12" s="54"/>
      <c r="R12" s="129" t="s">
        <v>107</v>
      </c>
      <c r="S12" s="361">
        <v>7</v>
      </c>
      <c r="T12" s="364" t="str">
        <f t="shared" si="1"/>
        <v/>
      </c>
      <c r="V12" s="137">
        <f>+IF(ISNUMBER(H12),1,0)</f>
        <v>0</v>
      </c>
    </row>
    <row r="13" spans="2:22" x14ac:dyDescent="0.2">
      <c r="B13" s="78"/>
      <c r="C13" s="79"/>
      <c r="D13" s="79" t="s">
        <v>131</v>
      </c>
      <c r="E13" s="79"/>
      <c r="F13" s="79"/>
      <c r="G13" s="79"/>
      <c r="H13" s="138"/>
      <c r="I13" s="79"/>
      <c r="J13" s="79"/>
      <c r="K13" s="80" t="str">
        <f>+IF(H13="","Wert eingeben","")</f>
        <v>Wert eingeben</v>
      </c>
      <c r="L13" s="87"/>
      <c r="M13" s="79"/>
      <c r="N13" s="83"/>
      <c r="P13" s="126">
        <f>+IF(H13="Ja",1,0)</f>
        <v>0</v>
      </c>
      <c r="Q13" s="54"/>
      <c r="R13" s="129" t="s">
        <v>171</v>
      </c>
      <c r="S13" s="361">
        <v>8</v>
      </c>
      <c r="T13" s="364" t="str">
        <f t="shared" si="1"/>
        <v/>
      </c>
      <c r="V13" s="137">
        <f t="shared" ref="V13:V18" si="2">+IF(H13="",0,1)</f>
        <v>0</v>
      </c>
    </row>
    <row r="14" spans="2:22" x14ac:dyDescent="0.2">
      <c r="B14" s="78"/>
      <c r="C14" s="79"/>
      <c r="D14" s="79" t="s">
        <v>180</v>
      </c>
      <c r="E14" s="79"/>
      <c r="F14" s="79"/>
      <c r="G14" s="79"/>
      <c r="H14" s="96"/>
      <c r="I14" s="79"/>
      <c r="J14" s="79"/>
      <c r="K14" s="80" t="str">
        <f>+IF(H14="","Ja oder Nein wählen","")</f>
        <v>Ja oder Nein wählen</v>
      </c>
      <c r="L14" s="87"/>
      <c r="M14" s="79"/>
      <c r="N14" s="83"/>
      <c r="P14" s="126">
        <f>+IF(H14="Ja",1,0)</f>
        <v>0</v>
      </c>
      <c r="Q14" s="54"/>
      <c r="R14" s="129" t="s">
        <v>172</v>
      </c>
      <c r="S14" s="361">
        <v>9</v>
      </c>
      <c r="T14" s="364" t="str">
        <f t="shared" si="1"/>
        <v/>
      </c>
      <c r="V14" s="137">
        <f t="shared" si="2"/>
        <v>0</v>
      </c>
    </row>
    <row r="15" spans="2:22" x14ac:dyDescent="0.2">
      <c r="B15" s="78"/>
      <c r="C15" s="79"/>
      <c r="D15" s="79" t="s">
        <v>230</v>
      </c>
      <c r="E15" s="79"/>
      <c r="F15" s="79"/>
      <c r="G15" s="79"/>
      <c r="H15" s="96"/>
      <c r="I15" s="79"/>
      <c r="J15" s="79"/>
      <c r="K15" s="80" t="str">
        <f>+IF(H15="","Anzahl Kinder für PV ?","")</f>
        <v>Anzahl Kinder für PV ?</v>
      </c>
      <c r="L15" s="84">
        <f t="shared" ref="L15:L20" si="3">+P15</f>
        <v>0</v>
      </c>
      <c r="M15" s="79"/>
      <c r="N15" s="83"/>
      <c r="P15" s="126">
        <f>+H15</f>
        <v>0</v>
      </c>
      <c r="Q15" s="54"/>
      <c r="R15" s="129" t="s">
        <v>173</v>
      </c>
      <c r="S15" s="361">
        <v>10</v>
      </c>
      <c r="T15" s="364" t="str">
        <f t="shared" si="1"/>
        <v/>
      </c>
      <c r="V15" s="137">
        <f t="shared" si="2"/>
        <v>0</v>
      </c>
    </row>
    <row r="16" spans="2:22" x14ac:dyDescent="0.2">
      <c r="B16" s="78"/>
      <c r="C16" s="79"/>
      <c r="D16" s="79" t="s">
        <v>123</v>
      </c>
      <c r="E16" s="79"/>
      <c r="F16" s="79"/>
      <c r="G16" s="79"/>
      <c r="H16" s="96"/>
      <c r="I16" s="79"/>
      <c r="J16" s="79"/>
      <c r="K16" s="80" t="str">
        <f>+IF(H16="","Ja oder Nein wählen","")</f>
        <v>Ja oder Nein wählen</v>
      </c>
      <c r="L16" s="84">
        <f t="shared" si="3"/>
        <v>0</v>
      </c>
      <c r="M16" s="79"/>
      <c r="N16" s="83"/>
      <c r="P16" s="126">
        <f>+IF(H16="Ja",1,0)</f>
        <v>0</v>
      </c>
      <c r="Q16" s="54"/>
      <c r="R16" s="129" t="s">
        <v>174</v>
      </c>
      <c r="S16" s="361">
        <v>11</v>
      </c>
      <c r="T16" s="364" t="str">
        <f t="shared" si="1"/>
        <v/>
      </c>
      <c r="V16" s="137">
        <f t="shared" si="2"/>
        <v>0</v>
      </c>
    </row>
    <row r="17" spans="2:22" x14ac:dyDescent="0.2">
      <c r="B17" s="78"/>
      <c r="C17" s="79"/>
      <c r="D17" s="88" t="str">
        <f>+IF(P16=1,"  Arbeitsort in Sachsen?","  Arbeitsort liegt nicht in Sachsen")</f>
        <v xml:space="preserve">  Arbeitsort liegt nicht in Sachsen</v>
      </c>
      <c r="E17" s="79"/>
      <c r="F17" s="79"/>
      <c r="G17" s="79"/>
      <c r="H17" s="136"/>
      <c r="I17" s="79"/>
      <c r="J17" s="79"/>
      <c r="K17" s="80" t="str">
        <f>+IF(AND(H16="Ja",H17=""),"Ja oder Nein wählen","")</f>
        <v/>
      </c>
      <c r="L17" s="84">
        <f t="shared" si="3"/>
        <v>0</v>
      </c>
      <c r="M17" s="79"/>
      <c r="N17" s="83"/>
      <c r="P17" s="126">
        <f>+IF(P16=0,0,IF(H17="Ja",1,0))</f>
        <v>0</v>
      </c>
      <c r="Q17" s="54"/>
      <c r="R17" s="129" t="s">
        <v>175</v>
      </c>
      <c r="S17" s="361">
        <v>12</v>
      </c>
      <c r="T17" s="364" t="str">
        <f t="shared" si="1"/>
        <v/>
      </c>
      <c r="V17" s="137">
        <f t="shared" si="2"/>
        <v>0</v>
      </c>
    </row>
    <row r="18" spans="2:22" x14ac:dyDescent="0.2">
      <c r="B18" s="78"/>
      <c r="C18" s="79"/>
      <c r="D18" s="454" t="s">
        <v>22</v>
      </c>
      <c r="E18" s="454"/>
      <c r="F18" s="454"/>
      <c r="G18" s="89"/>
      <c r="H18" s="457"/>
      <c r="I18" s="458"/>
      <c r="J18" s="89"/>
      <c r="K18" s="80" t="str">
        <f>+IF(H18="","Geburtsjahr wählen","")</f>
        <v>Geburtsjahr wählen</v>
      </c>
      <c r="L18" s="84">
        <f t="shared" si="3"/>
        <v>0</v>
      </c>
      <c r="M18" s="79"/>
      <c r="N18" s="83"/>
      <c r="P18" s="126">
        <f>IF(ISERROR(VLOOKUP(H18,R6:S13,2,FALSE)),0,VLOOKUP(H18,R6:S13,2,FALSE))</f>
        <v>0</v>
      </c>
      <c r="Q18" s="54"/>
      <c r="R18" s="129" t="s">
        <v>176</v>
      </c>
      <c r="S18" s="361">
        <v>13</v>
      </c>
      <c r="T18" s="364" t="str">
        <f t="shared" si="1"/>
        <v/>
      </c>
      <c r="V18" s="137">
        <f t="shared" si="2"/>
        <v>0</v>
      </c>
    </row>
    <row r="19" spans="2:22" x14ac:dyDescent="0.2">
      <c r="B19" s="78"/>
      <c r="C19" s="79"/>
      <c r="D19" s="80" t="s">
        <v>23</v>
      </c>
      <c r="E19" s="80"/>
      <c r="F19" s="80"/>
      <c r="G19" s="80"/>
      <c r="H19" s="71"/>
      <c r="I19" s="80"/>
      <c r="J19" s="80"/>
      <c r="K19" s="80" t="str">
        <f>+IF(ISNUMBER(H19),"","Wert eingeben")</f>
        <v>Wert eingeben</v>
      </c>
      <c r="L19" s="90">
        <f t="shared" si="3"/>
        <v>0</v>
      </c>
      <c r="M19" s="79"/>
      <c r="N19" s="83"/>
      <c r="P19" s="126">
        <f>+IF(ISNUMBER(H19),H19,0)</f>
        <v>0</v>
      </c>
      <c r="Q19" s="54"/>
      <c r="R19" s="129" t="s">
        <v>177</v>
      </c>
      <c r="S19" s="361">
        <v>14</v>
      </c>
      <c r="T19" s="364" t="str">
        <f t="shared" si="1"/>
        <v/>
      </c>
      <c r="V19" s="137">
        <f>+IF(ISNUMBER(H19),1,0)</f>
        <v>0</v>
      </c>
    </row>
    <row r="20" spans="2:22" ht="13.5" thickBot="1" x14ac:dyDescent="0.25">
      <c r="B20" s="78"/>
      <c r="C20" s="79"/>
      <c r="D20" s="80" t="s">
        <v>119</v>
      </c>
      <c r="E20" s="80"/>
      <c r="F20" s="80"/>
      <c r="G20" s="80"/>
      <c r="H20" s="98"/>
      <c r="I20" s="80"/>
      <c r="J20" s="80"/>
      <c r="K20" s="80" t="str">
        <f>+IF(ISNUMBER(H20),"","Wert eingeben")</f>
        <v>Wert eingeben</v>
      </c>
      <c r="L20" s="91">
        <f t="shared" si="3"/>
        <v>0</v>
      </c>
      <c r="M20" s="79"/>
      <c r="N20" s="83"/>
      <c r="P20" s="126">
        <f>+IF(ISNUMBER(H20),H20,0)</f>
        <v>0</v>
      </c>
      <c r="Q20" s="54"/>
      <c r="R20" s="129" t="s">
        <v>178</v>
      </c>
      <c r="S20" s="361">
        <v>15</v>
      </c>
      <c r="T20" s="364" t="str">
        <f t="shared" si="1"/>
        <v/>
      </c>
      <c r="V20" s="137">
        <f>+IF(ISNUMBER(H20),1,0)</f>
        <v>0</v>
      </c>
    </row>
    <row r="21" spans="2:22" hidden="1" x14ac:dyDescent="0.2">
      <c r="B21" s="78"/>
      <c r="C21" s="79"/>
      <c r="D21" s="80" t="str">
        <f>IF(AND(AND(L8&gt;0,L8&lt;1),L7=4),"Ehegattenfaktor von " &amp; L8 &amp; " berücksichtigt","")</f>
        <v/>
      </c>
      <c r="E21" s="80"/>
      <c r="F21" s="80"/>
      <c r="G21" s="92"/>
      <c r="H21" s="92"/>
      <c r="I21" s="92"/>
      <c r="J21" s="92"/>
      <c r="K21" s="92"/>
      <c r="L21" s="79"/>
      <c r="M21" s="79"/>
      <c r="N21" s="83"/>
      <c r="P21" s="54"/>
      <c r="Q21" s="54"/>
      <c r="R21" s="129" t="s">
        <v>179</v>
      </c>
      <c r="S21" s="361">
        <v>16</v>
      </c>
      <c r="T21" s="364" t="str">
        <f t="shared" si="1"/>
        <v/>
      </c>
    </row>
    <row r="22" spans="2:22" ht="13.9" hidden="1" customHeight="1" x14ac:dyDescent="0.2">
      <c r="B22" s="78"/>
      <c r="C22" s="79"/>
      <c r="D22" s="131"/>
      <c r="E22" s="131"/>
      <c r="F22" s="131"/>
      <c r="G22" s="131"/>
      <c r="H22" s="131"/>
      <c r="I22" s="131"/>
      <c r="J22" s="131"/>
      <c r="K22" s="131"/>
      <c r="L22" s="79"/>
      <c r="M22" s="79"/>
      <c r="N22" s="83"/>
      <c r="P22" s="54"/>
      <c r="Q22" s="54"/>
      <c r="R22" s="129" t="s">
        <v>203</v>
      </c>
      <c r="S22" s="361">
        <v>17</v>
      </c>
      <c r="T22" s="364" t="str">
        <f t="shared" si="1"/>
        <v/>
      </c>
    </row>
    <row r="23" spans="2:22" ht="13.9" hidden="1" customHeight="1" x14ac:dyDescent="0.2">
      <c r="B23" s="78"/>
      <c r="C23" s="79"/>
      <c r="D23" s="131"/>
      <c r="E23" s="131"/>
      <c r="F23" s="131"/>
      <c r="G23" s="131"/>
      <c r="H23" s="131"/>
      <c r="I23" s="131"/>
      <c r="J23" s="131"/>
      <c r="K23" s="131"/>
      <c r="L23" s="79"/>
      <c r="M23" s="79"/>
      <c r="N23" s="83"/>
      <c r="P23" s="54"/>
      <c r="Q23" s="54"/>
      <c r="R23" s="129" t="s">
        <v>206</v>
      </c>
      <c r="S23" s="361">
        <v>18</v>
      </c>
      <c r="T23" s="364" t="str">
        <f t="shared" si="1"/>
        <v/>
      </c>
    </row>
    <row r="24" spans="2:22" ht="13.9" hidden="1" customHeight="1" x14ac:dyDescent="0.2">
      <c r="B24" s="78"/>
      <c r="C24" s="79"/>
      <c r="D24" s="131"/>
      <c r="E24" s="131"/>
      <c r="F24" s="131"/>
      <c r="G24" s="131"/>
      <c r="H24" s="131"/>
      <c r="I24" s="131"/>
      <c r="J24" s="131"/>
      <c r="K24" s="131"/>
      <c r="L24" s="79"/>
      <c r="M24" s="79"/>
      <c r="N24" s="83"/>
      <c r="P24" s="54"/>
      <c r="Q24" s="54"/>
      <c r="R24" s="129" t="s">
        <v>217</v>
      </c>
      <c r="S24" s="427">
        <v>19</v>
      </c>
      <c r="T24" s="428" t="str">
        <f t="shared" si="1"/>
        <v/>
      </c>
    </row>
    <row r="25" spans="2:22" ht="13.9" hidden="1" customHeight="1" thickBot="1" x14ac:dyDescent="0.25">
      <c r="B25" s="78"/>
      <c r="C25" s="79"/>
      <c r="D25" s="131"/>
      <c r="E25" s="131"/>
      <c r="F25" s="131"/>
      <c r="G25" s="131"/>
      <c r="H25" s="131"/>
      <c r="I25" s="131"/>
      <c r="J25" s="131"/>
      <c r="K25" s="131"/>
      <c r="L25" s="79"/>
      <c r="M25" s="79"/>
      <c r="N25" s="83"/>
      <c r="P25" s="54"/>
      <c r="Q25" s="54"/>
      <c r="R25" s="130" t="s">
        <v>207</v>
      </c>
      <c r="S25" s="362">
        <v>20</v>
      </c>
      <c r="T25" s="365" t="str">
        <f t="shared" si="1"/>
        <v/>
      </c>
    </row>
    <row r="26" spans="2:22" ht="13.9" hidden="1" customHeight="1" thickBot="1" x14ac:dyDescent="0.25">
      <c r="B26" s="78"/>
      <c r="C26" s="79"/>
      <c r="D26" s="131"/>
      <c r="E26" s="131"/>
      <c r="F26" s="131"/>
      <c r="G26" s="131"/>
      <c r="H26" s="131"/>
      <c r="I26" s="131"/>
      <c r="J26" s="131"/>
      <c r="K26" s="131"/>
      <c r="L26" s="79"/>
      <c r="M26" s="79"/>
      <c r="N26" s="83"/>
      <c r="T26" s="366">
        <f>IF(ISERROR(SUM(T6:T25)),0,SUM(T6:T25))</f>
        <v>0</v>
      </c>
    </row>
    <row r="27" spans="2:22" ht="13.9" hidden="1" customHeight="1" x14ac:dyDescent="0.2">
      <c r="B27" s="78"/>
      <c r="C27" s="79"/>
      <c r="D27" s="131"/>
      <c r="E27" s="131"/>
      <c r="F27" s="131"/>
      <c r="G27" s="131"/>
      <c r="H27" s="131"/>
      <c r="I27" s="131"/>
      <c r="J27" s="131"/>
      <c r="K27" s="131"/>
      <c r="L27" s="79"/>
      <c r="M27" s="79"/>
      <c r="N27" s="83"/>
    </row>
    <row r="28" spans="2:22" ht="13.9" hidden="1" customHeight="1" x14ac:dyDescent="0.2">
      <c r="B28" s="78"/>
      <c r="C28" s="79"/>
      <c r="D28" s="131"/>
      <c r="E28" s="131"/>
      <c r="F28" s="131"/>
      <c r="G28" s="131"/>
      <c r="H28" s="131"/>
      <c r="I28" s="131"/>
      <c r="J28" s="131"/>
      <c r="K28" s="131"/>
      <c r="L28" s="79"/>
      <c r="M28" s="79"/>
      <c r="N28" s="83"/>
    </row>
    <row r="29" spans="2:22" ht="13.9" hidden="1" customHeight="1" x14ac:dyDescent="0.2">
      <c r="B29" s="78"/>
      <c r="C29" s="79"/>
      <c r="D29" s="131"/>
      <c r="E29" s="131"/>
      <c r="F29" s="131"/>
      <c r="G29" s="131"/>
      <c r="H29" s="131"/>
      <c r="I29" s="131"/>
      <c r="J29" s="131"/>
      <c r="K29" s="131"/>
      <c r="L29" s="79"/>
      <c r="M29" s="79"/>
      <c r="N29" s="83"/>
    </row>
    <row r="30" spans="2:22" ht="13.9" hidden="1" customHeight="1" x14ac:dyDescent="0.2">
      <c r="B30" s="78"/>
      <c r="C30" s="79"/>
      <c r="D30" s="131"/>
      <c r="E30" s="131"/>
      <c r="F30" s="131"/>
      <c r="G30" s="131"/>
      <c r="H30" s="131"/>
      <c r="I30" s="131"/>
      <c r="J30" s="131"/>
      <c r="K30" s="131"/>
      <c r="L30" s="79"/>
      <c r="M30" s="79"/>
      <c r="N30" s="83"/>
    </row>
    <row r="31" spans="2:22" hidden="1" x14ac:dyDescent="0.2">
      <c r="B31" s="78"/>
      <c r="C31" s="79"/>
      <c r="D31" s="131"/>
      <c r="E31" s="131"/>
      <c r="F31" s="131"/>
      <c r="G31" s="131"/>
      <c r="H31" s="131"/>
      <c r="I31" s="131"/>
      <c r="J31" s="131"/>
      <c r="K31" s="131"/>
      <c r="L31" s="79"/>
      <c r="M31" s="79"/>
      <c r="N31" s="83"/>
    </row>
    <row r="32" spans="2:22" ht="6.75" hidden="1" customHeight="1" x14ac:dyDescent="0.2">
      <c r="B32" s="78"/>
      <c r="C32" s="79"/>
      <c r="D32" s="131"/>
      <c r="E32" s="131"/>
      <c r="F32" s="131"/>
      <c r="G32" s="131"/>
      <c r="H32" s="131"/>
      <c r="I32" s="131"/>
      <c r="J32" s="131"/>
      <c r="K32" s="131"/>
      <c r="L32" s="79"/>
      <c r="M32" s="79"/>
      <c r="N32" s="83"/>
    </row>
    <row r="33" spans="2:24" hidden="1" x14ac:dyDescent="0.2">
      <c r="B33" s="78"/>
      <c r="C33" s="79"/>
      <c r="D33" s="131"/>
      <c r="E33" s="131"/>
      <c r="F33" s="131"/>
      <c r="G33" s="131"/>
      <c r="H33" s="131"/>
      <c r="I33" s="131"/>
      <c r="J33" s="131"/>
      <c r="K33" s="131"/>
      <c r="L33" s="79"/>
      <c r="M33" s="79"/>
      <c r="N33" s="83"/>
    </row>
    <row r="34" spans="2:24" hidden="1" x14ac:dyDescent="0.2">
      <c r="B34" s="78"/>
      <c r="C34" s="79"/>
      <c r="D34" s="131"/>
      <c r="E34" s="131"/>
      <c r="F34" s="131"/>
      <c r="G34" s="131"/>
      <c r="H34" s="131"/>
      <c r="I34" s="131"/>
      <c r="J34" s="131"/>
      <c r="K34" s="131"/>
      <c r="L34" s="79"/>
      <c r="M34" s="79"/>
      <c r="N34" s="83"/>
      <c r="W34" s="137">
        <f>15+IF(H7="",0,1)</f>
        <v>15</v>
      </c>
      <c r="X34" s="137">
        <f>IF(ISERROR(IF(V35=W34,1,0)),0,IF(V35=W34,1,0))</f>
        <v>0</v>
      </c>
    </row>
    <row r="35" spans="2:24" ht="7.5" customHeight="1" thickBot="1" x14ac:dyDescent="0.25"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/>
      <c r="V35" s="137">
        <f>+SUM(V5:V20)</f>
        <v>1</v>
      </c>
    </row>
    <row r="37" spans="2:24" x14ac:dyDescent="0.2">
      <c r="B37" s="453" t="s">
        <v>19</v>
      </c>
      <c r="C37" s="453"/>
      <c r="D37" s="453"/>
      <c r="E37" s="73" t="s">
        <v>11</v>
      </c>
      <c r="F37" s="73" t="s">
        <v>20</v>
      </c>
    </row>
    <row r="39" spans="2:24" x14ac:dyDescent="0.2">
      <c r="B39" s="9" t="s">
        <v>211</v>
      </c>
    </row>
    <row r="40" spans="2:24" x14ac:dyDescent="0.2">
      <c r="B40" s="9" t="s">
        <v>5</v>
      </c>
    </row>
    <row r="41" spans="2:24" x14ac:dyDescent="0.2">
      <c r="B41" s="9" t="s">
        <v>6</v>
      </c>
    </row>
  </sheetData>
  <sheetProtection sheet="1" objects="1" scenarios="1"/>
  <mergeCells count="5">
    <mergeCell ref="B3:N3"/>
    <mergeCell ref="B37:D37"/>
    <mergeCell ref="D18:F18"/>
    <mergeCell ref="H9:I9"/>
    <mergeCell ref="H18:I18"/>
  </mergeCells>
  <phoneticPr fontId="0" type="noConversion"/>
  <conditionalFormatting sqref="L18">
    <cfRule type="cellIs" priority="16" stopIfTrue="1" operator="between">
      <formula>0</formula>
      <formula>5</formula>
    </cfRule>
  </conditionalFormatting>
  <conditionalFormatting sqref="H8">
    <cfRule type="expression" dxfId="32" priority="15" stopIfTrue="1">
      <formula>$H$7=4</formula>
    </cfRule>
  </conditionalFormatting>
  <conditionalFormatting sqref="H17">
    <cfRule type="expression" dxfId="31" priority="14" stopIfTrue="1">
      <formula>$H$16="Ja"</formula>
    </cfRule>
  </conditionalFormatting>
  <conditionalFormatting sqref="K8">
    <cfRule type="cellIs" dxfId="30" priority="13" stopIfTrue="1" operator="equal">
      <formula>"Wert eingeben"</formula>
    </cfRule>
  </conditionalFormatting>
  <conditionalFormatting sqref="H13">
    <cfRule type="expression" dxfId="29" priority="12" stopIfTrue="1">
      <formula>$H$12&lt;20</formula>
    </cfRule>
  </conditionalFormatting>
  <conditionalFormatting sqref="K5">
    <cfRule type="cellIs" dxfId="28" priority="11" stopIfTrue="1" operator="equal">
      <formula>"Wert eingeben"</formula>
    </cfRule>
  </conditionalFormatting>
  <conditionalFormatting sqref="K6:K7">
    <cfRule type="cellIs" dxfId="27" priority="10" stopIfTrue="1" operator="equal">
      <formula>"Wert eingeben"</formula>
    </cfRule>
  </conditionalFormatting>
  <conditionalFormatting sqref="K10">
    <cfRule type="cellIs" dxfId="26" priority="9" stopIfTrue="1" operator="equal">
      <formula>"Wert eingeben"</formula>
    </cfRule>
  </conditionalFormatting>
  <conditionalFormatting sqref="K11:K13">
    <cfRule type="cellIs" dxfId="25" priority="8" stopIfTrue="1" operator="equal">
      <formula>"Wert eingeben"</formula>
    </cfRule>
  </conditionalFormatting>
  <conditionalFormatting sqref="K14">
    <cfRule type="cellIs" dxfId="24" priority="7" stopIfTrue="1" operator="equal">
      <formula>"Ja oder Nein wählen"</formula>
    </cfRule>
  </conditionalFormatting>
  <conditionalFormatting sqref="K15">
    <cfRule type="cellIs" dxfId="23" priority="6" stopIfTrue="1" operator="equal">
      <formula>"Anzahl Kinder für PV ?"</formula>
    </cfRule>
  </conditionalFormatting>
  <conditionalFormatting sqref="K17">
    <cfRule type="cellIs" dxfId="22" priority="5" stopIfTrue="1" operator="equal">
      <formula>"Ja oder Nein wählen"</formula>
    </cfRule>
  </conditionalFormatting>
  <conditionalFormatting sqref="K18">
    <cfRule type="cellIs" dxfId="21" priority="4" stopIfTrue="1" operator="equal">
      <formula>"Geburtsjahr wählen"</formula>
    </cfRule>
  </conditionalFormatting>
  <conditionalFormatting sqref="K19:K20">
    <cfRule type="cellIs" dxfId="20" priority="3" stopIfTrue="1" operator="equal">
      <formula>"Wert eingeben"</formula>
    </cfRule>
  </conditionalFormatting>
  <conditionalFormatting sqref="K9">
    <cfRule type="cellIs" dxfId="19" priority="2" stopIfTrue="1" operator="equal">
      <formula>"LSt-Tabelle wählen"</formula>
    </cfRule>
  </conditionalFormatting>
  <conditionalFormatting sqref="K16">
    <cfRule type="cellIs" dxfId="0" priority="1" stopIfTrue="1" operator="equal">
      <formula>"Ja oder Nein wählen"</formula>
    </cfRule>
  </conditionalFormatting>
  <dataValidations count="13">
    <dataValidation type="list" allowBlank="1" showInputMessage="1" showErrorMessage="1" sqref="H7" xr:uid="{00000000-0002-0000-0100-000000000000}">
      <formula1>"1,2,3,4,5,6"</formula1>
    </dataValidation>
    <dataValidation type="list" allowBlank="1" showInputMessage="1" showErrorMessage="1" sqref="H10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0,"0,5",1,"1,5",2,"2,5",3,"3,5",4,"4,5",5,"5,5",6</x12ac:list>
        </mc:Choice>
        <mc:Fallback>
          <formula1>"0,0,5,1,1,5,2,2,5,3,3,5,4,4,5,5,5,5,6"</formula1>
        </mc:Fallback>
      </mc:AlternateContent>
    </dataValidation>
    <dataValidation type="decimal" allowBlank="1" showInputMessage="1" showErrorMessage="1" sqref="L8" xr:uid="{00000000-0002-0000-0100-000002000000}">
      <formula1>0</formula1>
      <formula2>1</formula2>
    </dataValidation>
    <dataValidation type="list" allowBlank="1" showInputMessage="1" showErrorMessage="1" sqref="H9" xr:uid="{00000000-0002-0000-0100-000003000000}">
      <formula1>"Allgemeine LSt-Tabelle,Besondere LSt-Tabelle"</formula1>
    </dataValidation>
    <dataValidation type="decimal" allowBlank="1" showInputMessage="1" showErrorMessage="1" sqref="H12" xr:uid="{00000000-0002-0000-0100-000004000000}">
      <formula1>1</formula1>
      <formula2>1500</formula2>
    </dataValidation>
    <dataValidation type="list" allowBlank="1" showInputMessage="1" showErrorMessage="1" sqref="H14 H16:H17" xr:uid="{00000000-0002-0000-0100-000005000000}">
      <formula1>"Ja,Nein"</formula1>
    </dataValidation>
    <dataValidation type="decimal" allowBlank="1" showInputMessage="1" showErrorMessage="1" errorTitle="Nur Zahlen &lt;= 1 eingeb" error="Hier bitte nur bei Steuerklasse 4 einen Wert eingeben, der dann kleiner/gleich als 1 sein muss." sqref="H8" xr:uid="{00000000-0002-0000-0100-000006000000}">
      <formula1>0</formula1>
      <formula2>1</formula2>
    </dataValidation>
    <dataValidation type="decimal" allowBlank="1" showInputMessage="1" showErrorMessage="1" errorTitle="Hinzurechnungsbetrag" error="Hier bitte den Hinzurechnungsbetrag eingeben (zwischen 0ß und 100.000 Euro)." sqref="H19" xr:uid="{00000000-0002-0000-0100-000007000000}">
      <formula1>0</formula1>
      <formula2>100000</formula2>
    </dataValidation>
    <dataValidation type="decimal" allowBlank="1" showInputMessage="1" showErrorMessage="1" errorTitle="Lohnsteuerfreibetrag" error="Hier bitte den Lohnsteuerfreibetrag (zwischen 0 und 250.000 Euro) eingeben." sqref="H20" xr:uid="{00000000-0002-0000-0100-000008000000}">
      <formula1>0</formula1>
      <formula2>250000</formula2>
    </dataValidation>
    <dataValidation type="list" allowBlank="1" showInputMessage="1" showErrorMessage="1" sqref="H11" xr:uid="{00000000-0002-0000-0100-000009000000}">
      <formula1>"0%,8%,9%"</formula1>
    </dataValidation>
    <dataValidation type="list" allowBlank="1" showInputMessage="1" showErrorMessage="1" sqref="H6" xr:uid="{00000000-0002-0000-0100-00000A000000}">
      <formula1>"Jahr,Monat,Woche,Tag"</formula1>
    </dataValidation>
    <dataValidation type="decimal" allowBlank="1" showInputMessage="1" showErrorMessage="1" errorTitle="Arbeitslohn eingeben" error="Hier bitte den steuerpflichtigen Arbeitslohn eingeben (zwischen 1,00 und 1.000.000,00 Euro)" sqref="H5" xr:uid="{00000000-0002-0000-0100-00000B000000}">
      <formula1>1</formula1>
      <formula2>1000000</formula2>
    </dataValidation>
    <dataValidation type="list" allowBlank="1" showInputMessage="1" showErrorMessage="1" sqref="H18:I18" xr:uid="{00000000-0002-0000-0100-00000C000000}">
      <formula1>$R$6:$R$25</formula1>
    </dataValidation>
  </dataValidations>
  <hyperlinks>
    <hyperlink ref="B37:D37" location="StartseiteB5" display="&lt;&lt; Startseite" xr:uid="{00000000-0004-0000-0100-000000000000}"/>
    <hyperlink ref="E37" location="BeispielB3" display="Beispiel" xr:uid="{00000000-0004-0000-0100-000001000000}"/>
    <hyperlink ref="F37" location="HilfeB3" display="Hilfe?" xr:uid="{00000000-0004-0000-0100-000002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9" r:id="rId4" name="Button 5">
              <controlPr defaultSize="0" print="0" autoFill="0" autoPict="0" macro="[0]!Hinweis1">
                <anchor moveWithCells="1" siz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5" name="Button 12">
              <controlPr defaultSize="0" print="0" autoFill="0" autoPict="0" macro="[0]!Hinweis4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6" name="Button 17">
              <controlPr defaultSize="0" print="0" autoFill="0" autoPict="0" macro="[0]!Hinweis7">
                <anchor moveWithCells="1" siz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7" name="Button 20">
              <controlPr defaultSize="0" print="0" autoFill="0" autoPict="0" macro="[0]!Hinweis5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96F14C-6B50-47FC-B9CD-42BC274DA62C}">
          <x14:formula1>
            <xm:f>LSTBerechnung2023_07!$Q$2:$Q$7</xm:f>
          </x14:formula1>
          <xm:sqref>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autoPageBreaks="0" fitToPage="1"/>
  </sheetPr>
  <dimension ref="B2:V45"/>
  <sheetViews>
    <sheetView showGridLines="0" zoomScaleNormal="100" workbookViewId="0">
      <selection activeCell="Z15" sqref="Z15"/>
    </sheetView>
  </sheetViews>
  <sheetFormatPr baseColWidth="10" defaultRowHeight="12.75" x14ac:dyDescent="0.2"/>
  <cols>
    <col min="2" max="2" width="2.42578125" customWidth="1"/>
    <col min="3" max="3" width="11.42578125" hidden="1" customWidth="1"/>
    <col min="4" max="4" width="16.28515625" customWidth="1"/>
    <col min="5" max="5" width="16.42578125" customWidth="1"/>
    <col min="6" max="6" width="19.28515625" customWidth="1"/>
    <col min="7" max="7" width="4.140625" customWidth="1"/>
    <col min="8" max="8" width="12.28515625" bestFit="1" customWidth="1"/>
    <col min="9" max="9" width="12.42578125" customWidth="1"/>
    <col min="10" max="10" width="2" customWidth="1"/>
    <col min="11" max="11" width="12.42578125" hidden="1" customWidth="1"/>
    <col min="12" max="12" width="12.85546875" hidden="1" customWidth="1"/>
    <col min="13" max="13" width="3.7109375" hidden="1" customWidth="1"/>
    <col min="14" max="14" width="2.7109375" customWidth="1"/>
    <col min="15" max="15" width="13.7109375" hidden="1" customWidth="1"/>
    <col min="16" max="16" width="11.42578125" hidden="1" customWidth="1"/>
    <col min="17" max="17" width="1.28515625" hidden="1" customWidth="1"/>
    <col min="18" max="18" width="11.5703125" hidden="1" customWidth="1"/>
    <col min="19" max="19" width="2.42578125" hidden="1" customWidth="1"/>
    <col min="20" max="20" width="11.5703125" hidden="1" customWidth="1"/>
    <col min="21" max="21" width="2" customWidth="1"/>
    <col min="22" max="22" width="11.5703125" customWidth="1"/>
  </cols>
  <sheetData>
    <row r="2" spans="2:20" x14ac:dyDescent="0.2">
      <c r="P2" s="137">
        <f>+Eingaben!X34</f>
        <v>0</v>
      </c>
    </row>
    <row r="3" spans="2:20" ht="13.5" thickBot="1" x14ac:dyDescent="0.25">
      <c r="N3" s="49" t="s">
        <v>15</v>
      </c>
    </row>
    <row r="4" spans="2:20" s="72" customFormat="1" ht="23.25" customHeight="1" thickBot="1" x14ac:dyDescent="0.25">
      <c r="B4" s="450" t="s">
        <v>214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</row>
    <row r="5" spans="2:20" s="72" customFormat="1" ht="12.75" customHeight="1" x14ac:dyDescent="0.2"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2:20" ht="16.5" thickBot="1" x14ac:dyDescent="0.25">
      <c r="B6" s="176"/>
      <c r="C6" s="131"/>
      <c r="D6" s="465" t="str">
        <f>+IF(P2=0,"Es fehlen noch Angaben im Arbeitblatt Eingaben","Alle erforderlichen Eingaben wurden gemacht")</f>
        <v>Es fehlen noch Angaben im Arbeitblatt Eingaben</v>
      </c>
      <c r="E6" s="466"/>
      <c r="F6" s="466"/>
      <c r="G6" s="466"/>
      <c r="H6" s="466"/>
      <c r="I6" s="467"/>
      <c r="J6" s="177"/>
      <c r="K6" s="131"/>
      <c r="L6" s="131"/>
      <c r="M6" s="131"/>
      <c r="N6" s="178"/>
      <c r="T6" s="72"/>
    </row>
    <row r="7" spans="2:20" ht="12.75" customHeight="1" thickBot="1" x14ac:dyDescent="0.25">
      <c r="B7" s="176"/>
      <c r="C7" s="131"/>
      <c r="D7" s="177"/>
      <c r="E7" s="177"/>
      <c r="F7" s="177"/>
      <c r="G7" s="177"/>
      <c r="H7" s="177"/>
      <c r="I7" s="177"/>
      <c r="J7" s="177"/>
      <c r="K7" s="131"/>
      <c r="L7" s="179"/>
      <c r="M7" s="131"/>
      <c r="N7" s="178"/>
      <c r="T7" s="72"/>
    </row>
    <row r="8" spans="2:20" x14ac:dyDescent="0.2">
      <c r="B8" s="176"/>
      <c r="C8" s="131"/>
      <c r="D8" s="180" t="s">
        <v>97</v>
      </c>
      <c r="E8" s="181"/>
      <c r="F8" s="181"/>
      <c r="G8" s="181"/>
      <c r="H8" s="206" t="str">
        <f>IF($P$2=0,"",IF(Eingaben!H5="","",Eingaben!H5))</f>
        <v/>
      </c>
      <c r="I8" s="181"/>
      <c r="J8" s="181"/>
      <c r="K8" s="180"/>
      <c r="L8" s="182" t="str">
        <f>+H8</f>
        <v/>
      </c>
      <c r="M8" s="131"/>
      <c r="N8" s="178"/>
      <c r="R8" s="133" t="str">
        <f>+L8</f>
        <v/>
      </c>
      <c r="T8" s="72"/>
    </row>
    <row r="9" spans="2:20" x14ac:dyDescent="0.2">
      <c r="B9" s="176"/>
      <c r="C9" s="131"/>
      <c r="D9" s="131" t="s">
        <v>117</v>
      </c>
      <c r="E9" s="131"/>
      <c r="F9" s="131"/>
      <c r="G9" s="131"/>
      <c r="H9" s="207" t="str">
        <f>IF($P$2=0,"",IF(Eingaben!H6="","",Eingaben!H6))</f>
        <v/>
      </c>
      <c r="I9" s="131"/>
      <c r="J9" s="131"/>
      <c r="K9" s="180"/>
      <c r="L9" s="183">
        <f t="shared" ref="L9:L24" si="0">+P9</f>
        <v>1</v>
      </c>
      <c r="M9" s="131"/>
      <c r="N9" s="178"/>
      <c r="P9" s="126">
        <f>+IF(H9="Jahr",1,IF(H9="Monat",2,IF(H9="Woche",3,IF(H9="Tag",4,1))))</f>
        <v>1</v>
      </c>
      <c r="R9" s="134">
        <f>+P9</f>
        <v>1</v>
      </c>
      <c r="T9" s="72"/>
    </row>
    <row r="10" spans="2:20" hidden="1" x14ac:dyDescent="0.2">
      <c r="B10" s="176"/>
      <c r="C10" s="131"/>
      <c r="D10" s="131"/>
      <c r="E10" s="131"/>
      <c r="F10" s="131"/>
      <c r="G10" s="131"/>
      <c r="H10" s="207"/>
      <c r="I10" s="131"/>
      <c r="J10" s="131"/>
      <c r="K10" s="180"/>
      <c r="L10" s="184"/>
      <c r="M10" s="131"/>
      <c r="N10" s="178"/>
      <c r="P10" s="132"/>
      <c r="R10" s="134"/>
      <c r="T10" s="72"/>
    </row>
    <row r="11" spans="2:20" x14ac:dyDescent="0.2">
      <c r="B11" s="176"/>
      <c r="C11" s="131"/>
      <c r="D11" s="131" t="s">
        <v>115</v>
      </c>
      <c r="E11" s="131"/>
      <c r="F11" s="131"/>
      <c r="G11" s="131"/>
      <c r="H11" s="207" t="str">
        <f>IF($P$2=0,"",IF(Eingaben!H7="","",Eingaben!H7))</f>
        <v/>
      </c>
      <c r="I11" s="131"/>
      <c r="J11" s="131"/>
      <c r="K11" s="180"/>
      <c r="L11" s="183">
        <f t="shared" si="0"/>
        <v>1</v>
      </c>
      <c r="M11" s="131"/>
      <c r="N11" s="178"/>
      <c r="P11" s="126">
        <f>+IF(ISNUMBER(H11),H11,1)</f>
        <v>1</v>
      </c>
      <c r="R11" s="134">
        <f>+P11</f>
        <v>1</v>
      </c>
      <c r="T11" s="72"/>
    </row>
    <row r="12" spans="2:20" x14ac:dyDescent="0.2">
      <c r="B12" s="176"/>
      <c r="C12" s="131"/>
      <c r="D12" s="180" t="s">
        <v>112</v>
      </c>
      <c r="E12" s="131"/>
      <c r="F12" s="131"/>
      <c r="G12" s="185"/>
      <c r="H12" s="186" t="str">
        <f>IF($P$2=0,"",IF(H11&lt;&gt;4,"",IF(Eingaben!H8="",0,Eingaben!H8)))</f>
        <v/>
      </c>
      <c r="I12" s="185"/>
      <c r="J12" s="185"/>
      <c r="K12" s="180"/>
      <c r="L12" s="187">
        <f t="shared" si="0"/>
        <v>0</v>
      </c>
      <c r="M12" s="131"/>
      <c r="N12" s="178"/>
      <c r="P12" s="126">
        <f>+IF(ISNUMBER(H12),H12,0)</f>
        <v>0</v>
      </c>
      <c r="R12" s="134">
        <f>+P12</f>
        <v>0</v>
      </c>
      <c r="T12" s="72"/>
    </row>
    <row r="13" spans="2:20" x14ac:dyDescent="0.2">
      <c r="B13" s="176"/>
      <c r="C13" s="131"/>
      <c r="D13" s="131" t="s">
        <v>114</v>
      </c>
      <c r="E13" s="131"/>
      <c r="F13" s="131"/>
      <c r="G13" s="131"/>
      <c r="H13" s="459" t="str">
        <f>IF($P$2=0,"",IF(Eingaben!H9="","",Eingaben!H9))</f>
        <v/>
      </c>
      <c r="I13" s="459" t="str">
        <f>+IF(Eingaben!I9="","",Eingaben!I9)</f>
        <v/>
      </c>
      <c r="J13" s="131"/>
      <c r="K13" s="180"/>
      <c r="L13" s="183">
        <f t="shared" si="0"/>
        <v>0</v>
      </c>
      <c r="M13" s="131"/>
      <c r="N13" s="178"/>
      <c r="P13" s="126">
        <f>+IF(H13="Allgemeine LSt-Tabelle",0,IF(H13="Besondere LSt-Tabelle",1,0))</f>
        <v>0</v>
      </c>
      <c r="R13" s="134">
        <f>+P13</f>
        <v>0</v>
      </c>
      <c r="T13" s="72"/>
    </row>
    <row r="14" spans="2:20" x14ac:dyDescent="0.2">
      <c r="B14" s="176"/>
      <c r="C14" s="131"/>
      <c r="D14" s="131" t="s">
        <v>113</v>
      </c>
      <c r="E14" s="131"/>
      <c r="F14" s="131"/>
      <c r="G14" s="131"/>
      <c r="H14" s="207" t="str">
        <f>IF($P$2=0,"",IF(Eingaben!H10="","",Eingaben!H10))</f>
        <v/>
      </c>
      <c r="I14" s="131"/>
      <c r="J14" s="131"/>
      <c r="K14" s="180"/>
      <c r="L14" s="183">
        <f t="shared" si="0"/>
        <v>0</v>
      </c>
      <c r="M14" s="131"/>
      <c r="N14" s="178"/>
      <c r="P14" s="126">
        <f>+IF(ISNUMBER(H14),H14,0)</f>
        <v>0</v>
      </c>
      <c r="R14" s="134">
        <f>+P14</f>
        <v>0</v>
      </c>
      <c r="T14" s="72"/>
    </row>
    <row r="15" spans="2:20" x14ac:dyDescent="0.2">
      <c r="B15" s="176"/>
      <c r="C15" s="131"/>
      <c r="D15" s="131" t="s">
        <v>26</v>
      </c>
      <c r="E15" s="131"/>
      <c r="F15" s="131"/>
      <c r="G15" s="131"/>
      <c r="H15" s="208" t="str">
        <f>IF($P$2=0,"",IF(Eingaben!H11="","",Eingaben!H11))</f>
        <v/>
      </c>
      <c r="I15" s="131"/>
      <c r="J15" s="131"/>
      <c r="K15" s="180"/>
      <c r="L15" s="183">
        <f t="shared" si="0"/>
        <v>0</v>
      </c>
      <c r="M15" s="131"/>
      <c r="N15" s="178"/>
      <c r="P15" s="126">
        <f>+IF(ISNUMBER(H15),H15,0)</f>
        <v>0</v>
      </c>
      <c r="R15" s="134">
        <f>+P15*100</f>
        <v>0</v>
      </c>
      <c r="T15" s="72"/>
    </row>
    <row r="16" spans="2:20" x14ac:dyDescent="0.2">
      <c r="B16" s="176"/>
      <c r="C16" s="131"/>
      <c r="D16" s="131" t="s">
        <v>118</v>
      </c>
      <c r="E16" s="131"/>
      <c r="F16" s="131"/>
      <c r="G16" s="131"/>
      <c r="H16" s="207" t="str">
        <f>IF($P$2=0,"",IF(Eingaben!H12="","",Eingaben!H12))</f>
        <v/>
      </c>
      <c r="I16" s="131"/>
      <c r="J16" s="131"/>
      <c r="K16" s="180"/>
      <c r="L16" s="188">
        <f t="shared" si="0"/>
        <v>15.5</v>
      </c>
      <c r="M16" s="131"/>
      <c r="N16" s="178"/>
      <c r="P16" s="126">
        <f>+IF(ISNUMBER(H16),H16,15.5)</f>
        <v>15.5</v>
      </c>
      <c r="R16" s="135">
        <f>P16</f>
        <v>15.5</v>
      </c>
      <c r="T16" s="72"/>
    </row>
    <row r="17" spans="2:22" x14ac:dyDescent="0.2">
      <c r="B17" s="176"/>
      <c r="C17" s="131"/>
      <c r="D17" s="131" t="s">
        <v>131</v>
      </c>
      <c r="E17" s="131"/>
      <c r="F17" s="131"/>
      <c r="G17" s="131"/>
      <c r="H17" s="207" t="str">
        <f>IF($P$2=0,"",IF(Eingaben!H13="","",IF(H16&gt;20,0,Eingaben!H13)))</f>
        <v/>
      </c>
      <c r="I17" s="131"/>
      <c r="J17" s="131"/>
      <c r="K17" s="180"/>
      <c r="L17" s="188" t="str">
        <f>+P17</f>
        <v/>
      </c>
      <c r="M17" s="131"/>
      <c r="N17" s="178"/>
      <c r="P17" s="126" t="str">
        <f>+H17</f>
        <v/>
      </c>
      <c r="R17" s="135" t="str">
        <f>+P17</f>
        <v/>
      </c>
      <c r="T17" s="72"/>
    </row>
    <row r="18" spans="2:22" x14ac:dyDescent="0.2">
      <c r="B18" s="176"/>
      <c r="C18" s="131"/>
      <c r="D18" s="131" t="s">
        <v>180</v>
      </c>
      <c r="E18" s="131"/>
      <c r="F18" s="131"/>
      <c r="G18" s="131"/>
      <c r="H18" s="207" t="str">
        <f>IF($P$2=0,"",IF(Eingaben!H14="","",Eingaben!H14))</f>
        <v/>
      </c>
      <c r="I18" s="131"/>
      <c r="J18" s="131"/>
      <c r="K18" s="180"/>
      <c r="L18" s="188"/>
      <c r="M18" s="131"/>
      <c r="N18" s="178"/>
      <c r="P18" s="126">
        <f>+IF(H18="Ja",1,0)</f>
        <v>0</v>
      </c>
      <c r="R18" s="135"/>
      <c r="T18" s="72"/>
    </row>
    <row r="19" spans="2:22" x14ac:dyDescent="0.2">
      <c r="B19" s="176"/>
      <c r="C19" s="131"/>
      <c r="D19" s="131" t="s">
        <v>230</v>
      </c>
      <c r="E19" s="131"/>
      <c r="F19" s="131"/>
      <c r="G19" s="131"/>
      <c r="H19" s="207" t="str">
        <f>IF($P$2=0,"",IF(Eingaben!H15="","",Eingaben!H15))</f>
        <v/>
      </c>
      <c r="I19" s="131"/>
      <c r="J19" s="131"/>
      <c r="K19" s="180"/>
      <c r="L19" s="183" t="str">
        <f t="shared" si="0"/>
        <v/>
      </c>
      <c r="M19" s="131"/>
      <c r="N19" s="178"/>
      <c r="P19" s="126" t="str">
        <f>+H19</f>
        <v/>
      </c>
      <c r="R19" s="134" t="str">
        <f t="shared" ref="R19:R24" si="1">+P19</f>
        <v/>
      </c>
      <c r="T19" s="72"/>
    </row>
    <row r="20" spans="2:22" x14ac:dyDescent="0.2">
      <c r="B20" s="176"/>
      <c r="C20" s="131"/>
      <c r="D20" s="131" t="s">
        <v>123</v>
      </c>
      <c r="E20" s="131"/>
      <c r="F20" s="131"/>
      <c r="G20" s="131"/>
      <c r="H20" s="207" t="str">
        <f>IF($P$2=0,"",IF(Eingaben!H16="","",Eingaben!H16))</f>
        <v/>
      </c>
      <c r="I20" s="131"/>
      <c r="J20" s="131"/>
      <c r="K20" s="180"/>
      <c r="L20" s="183">
        <f t="shared" si="0"/>
        <v>0</v>
      </c>
      <c r="M20" s="131"/>
      <c r="N20" s="178"/>
      <c r="P20" s="126">
        <f>+IF(H20="Ja",1,0)</f>
        <v>0</v>
      </c>
      <c r="R20" s="134">
        <f t="shared" si="1"/>
        <v>0</v>
      </c>
      <c r="T20" s="72"/>
    </row>
    <row r="21" spans="2:22" x14ac:dyDescent="0.2">
      <c r="B21" s="176"/>
      <c r="C21" s="131"/>
      <c r="D21" s="189" t="str">
        <f>+IF(P20=1,"  Arbeitsort in Sachsen?","  Arbeitsort liegt nicht in Sachsen")</f>
        <v xml:space="preserve">  Arbeitsort liegt nicht in Sachsen</v>
      </c>
      <c r="E21" s="131"/>
      <c r="F21" s="131"/>
      <c r="G21" s="131"/>
      <c r="H21" s="209" t="str">
        <f>IF($P$2=0,"",IF(Eingaben!H17="","",Eingaben!H17))</f>
        <v/>
      </c>
      <c r="I21" s="131"/>
      <c r="J21" s="131"/>
      <c r="K21" s="180"/>
      <c r="L21" s="183">
        <f t="shared" si="0"/>
        <v>0</v>
      </c>
      <c r="M21" s="131"/>
      <c r="N21" s="178"/>
      <c r="P21" s="126">
        <f>+IF(P20=0,0,IF(H21="Ja",1,0))</f>
        <v>0</v>
      </c>
      <c r="R21" s="134">
        <f t="shared" si="1"/>
        <v>0</v>
      </c>
      <c r="T21" s="72"/>
    </row>
    <row r="22" spans="2:22" ht="12.75" customHeight="1" x14ac:dyDescent="0.2">
      <c r="B22" s="176"/>
      <c r="C22" s="131"/>
      <c r="D22" s="464" t="s">
        <v>22</v>
      </c>
      <c r="E22" s="464"/>
      <c r="F22" s="464"/>
      <c r="G22" s="190"/>
      <c r="H22" s="460" t="str">
        <f>IF($P$2=0,"",IF(Eingaben!H18="","",Eingaben!H18))</f>
        <v/>
      </c>
      <c r="I22" s="460" t="str">
        <f>+IF(Eingaben!I18="","",Eingaben!I18)</f>
        <v/>
      </c>
      <c r="J22" s="190"/>
      <c r="K22" s="180"/>
      <c r="L22" s="183">
        <f t="shared" si="0"/>
        <v>0</v>
      </c>
      <c r="M22" s="131"/>
      <c r="N22" s="178"/>
      <c r="P22" s="126">
        <f>IF(ISERROR(VLOOKUP(H22,Eingaben!R6:S25,2,FALSE)),0,VLOOKUP(H22,Eingaben!R6:S25,2,FALSE))</f>
        <v>0</v>
      </c>
      <c r="R22" s="134">
        <f t="shared" si="1"/>
        <v>0</v>
      </c>
      <c r="T22" s="72"/>
    </row>
    <row r="23" spans="2:22" x14ac:dyDescent="0.2">
      <c r="B23" s="176"/>
      <c r="C23" s="131"/>
      <c r="D23" s="180" t="s">
        <v>23</v>
      </c>
      <c r="E23" s="180"/>
      <c r="F23" s="180"/>
      <c r="G23" s="180"/>
      <c r="H23" s="210" t="str">
        <f>IF($P$2=0,"",IF(Eingaben!H19="","",Eingaben!H19))</f>
        <v/>
      </c>
      <c r="I23" s="180"/>
      <c r="J23" s="180"/>
      <c r="K23" s="180"/>
      <c r="L23" s="191">
        <f t="shared" si="0"/>
        <v>0</v>
      </c>
      <c r="M23" s="131"/>
      <c r="N23" s="178"/>
      <c r="P23" s="126">
        <f>+IF(ISNUMBER(H23),H23,0)</f>
        <v>0</v>
      </c>
      <c r="R23" s="134">
        <f t="shared" si="1"/>
        <v>0</v>
      </c>
      <c r="T23" s="72"/>
    </row>
    <row r="24" spans="2:22" ht="13.5" thickBot="1" x14ac:dyDescent="0.25">
      <c r="B24" s="176"/>
      <c r="C24" s="131"/>
      <c r="D24" s="180" t="s">
        <v>119</v>
      </c>
      <c r="E24" s="180"/>
      <c r="F24" s="180"/>
      <c r="G24" s="180"/>
      <c r="H24" s="210" t="str">
        <f>IF($P$2=0,"",IF(Eingaben!H20="","",Eingaben!H20))</f>
        <v/>
      </c>
      <c r="I24" s="180"/>
      <c r="J24" s="180"/>
      <c r="K24" s="180"/>
      <c r="L24" s="192">
        <f t="shared" si="0"/>
        <v>0</v>
      </c>
      <c r="M24" s="131"/>
      <c r="N24" s="178"/>
      <c r="P24" s="126">
        <f>+IF(ISNUMBER(H24),H24,0)</f>
        <v>0</v>
      </c>
      <c r="R24" s="134">
        <f t="shared" si="1"/>
        <v>0</v>
      </c>
      <c r="T24" s="72"/>
    </row>
    <row r="25" spans="2:22" ht="13.5" thickBot="1" x14ac:dyDescent="0.25">
      <c r="B25" s="176"/>
      <c r="C25" s="131"/>
      <c r="D25" s="180" t="str">
        <f>IF(AND(AND(L12&gt;0,L12&lt;1),L11=4),"Ehegattenfaktor von " &amp; L12 &amp; " berücksichtigt","")</f>
        <v/>
      </c>
      <c r="E25" s="180"/>
      <c r="F25" s="180"/>
      <c r="G25" s="193"/>
      <c r="H25" s="193"/>
      <c r="I25" s="193"/>
      <c r="J25" s="193"/>
      <c r="K25" s="193"/>
      <c r="L25" s="131"/>
      <c r="M25" s="131"/>
      <c r="N25" s="178"/>
      <c r="P25" s="54"/>
      <c r="T25" s="72"/>
    </row>
    <row r="26" spans="2:22" ht="13.5" thickBot="1" x14ac:dyDescent="0.25">
      <c r="B26" s="176"/>
      <c r="C26" s="131"/>
      <c r="D26" s="461" t="s">
        <v>111</v>
      </c>
      <c r="E26" s="462"/>
      <c r="F26" s="463"/>
      <c r="G26" s="193"/>
      <c r="H26" s="193"/>
      <c r="I26" s="193"/>
      <c r="J26" s="193"/>
      <c r="K26" s="193"/>
      <c r="L26" s="131"/>
      <c r="M26" s="131"/>
      <c r="N26" s="178"/>
      <c r="P26" s="54"/>
      <c r="T26" s="72"/>
    </row>
    <row r="27" spans="2:22" ht="6" customHeight="1" x14ac:dyDescent="0.2">
      <c r="B27" s="176"/>
      <c r="C27" s="131"/>
      <c r="D27" s="180"/>
      <c r="E27" s="180"/>
      <c r="F27" s="180"/>
      <c r="G27" s="193"/>
      <c r="H27" s="193"/>
      <c r="I27" s="193"/>
      <c r="J27" s="193"/>
      <c r="K27" s="193"/>
      <c r="L27" s="131"/>
      <c r="M27" s="131"/>
      <c r="N27" s="178"/>
      <c r="P27" s="54"/>
      <c r="T27" s="72"/>
    </row>
    <row r="28" spans="2:22" x14ac:dyDescent="0.2">
      <c r="B28" s="176"/>
      <c r="C28" s="131"/>
      <c r="D28" s="180" t="s">
        <v>24</v>
      </c>
      <c r="E28" s="180"/>
      <c r="F28" s="180"/>
      <c r="G28" s="194"/>
      <c r="H28" s="195" t="str">
        <f>IF($P$2=0,"",LSTBerechnung2023_07!C54/100)</f>
        <v/>
      </c>
      <c r="I28" s="194"/>
      <c r="J28" s="194"/>
      <c r="K28" s="194"/>
      <c r="L28" s="131"/>
      <c r="M28" s="131"/>
      <c r="N28" s="178"/>
      <c r="O28" s="125"/>
      <c r="P28" s="54"/>
      <c r="T28" s="72"/>
    </row>
    <row r="29" spans="2:22" x14ac:dyDescent="0.2">
      <c r="B29" s="176"/>
      <c r="C29" s="131"/>
      <c r="D29" s="180" t="s">
        <v>25</v>
      </c>
      <c r="E29" s="180"/>
      <c r="F29" s="180"/>
      <c r="G29" s="194"/>
      <c r="H29" s="195" t="str">
        <f>IF($P$2=0,"",LSTBerechnung2023_07!C66/100)</f>
        <v/>
      </c>
      <c r="I29" s="194"/>
      <c r="J29" s="194"/>
      <c r="K29" s="194"/>
      <c r="L29" s="131"/>
      <c r="M29" s="131"/>
      <c r="N29" s="178"/>
      <c r="O29" s="125"/>
      <c r="V29" s="172"/>
    </row>
    <row r="30" spans="2:22" x14ac:dyDescent="0.2">
      <c r="B30" s="176"/>
      <c r="C30" s="131"/>
      <c r="D30" s="180" t="s">
        <v>26</v>
      </c>
      <c r="E30" s="180"/>
      <c r="F30" s="180"/>
      <c r="G30" s="194"/>
      <c r="H30" s="196" t="str">
        <f>IF($P$2=0,"",ROUNDDOWN(LSTBerechnung2023_07!C68*Berechnung!R15/10000,2))</f>
        <v/>
      </c>
      <c r="I30" s="194"/>
      <c r="J30" s="194"/>
      <c r="K30" s="194"/>
      <c r="L30" s="131"/>
      <c r="M30" s="131"/>
      <c r="N30" s="178"/>
      <c r="O30" s="125"/>
    </row>
    <row r="31" spans="2:22" ht="6" customHeight="1" x14ac:dyDescent="0.2">
      <c r="B31" s="176"/>
      <c r="C31" s="131"/>
      <c r="D31" s="194"/>
      <c r="E31" s="194"/>
      <c r="F31" s="194"/>
      <c r="G31" s="194"/>
      <c r="H31" s="194"/>
      <c r="I31" s="194"/>
      <c r="J31" s="194"/>
      <c r="K31" s="194"/>
      <c r="L31" s="131"/>
      <c r="M31" s="131"/>
      <c r="N31" s="178"/>
      <c r="O31" s="125"/>
    </row>
    <row r="32" spans="2:22" x14ac:dyDescent="0.2">
      <c r="B32" s="176"/>
      <c r="C32" s="131"/>
      <c r="D32" s="180" t="s">
        <v>218</v>
      </c>
      <c r="E32" s="180"/>
      <c r="F32" s="180"/>
      <c r="G32" s="180"/>
      <c r="H32" s="196" t="str">
        <f>IF($P$2=0,"",IF(P13=0,ROUND(IF(P9=1,
IF(H8&gt;LSTBerechnung2023_07!C9,LSTBerechnung2023_07!C9,H8),IF(P9=2,
IF(H8&gt;(LSTBerechnung2023_07!C9/12),(LSTBerechnung2023_07!C9/12),H8),
IF(P9=3,
IF(H8&gt;(LSTBerechnung2023_07!C9/360*7),(LSTBerechnung2023_07!C9/360*7),H8),
IF(H8&gt;(LSTBerechnung2023_07!C9/360),(LSTBerechnung2023_07!C9/360),H8))))*0.093,2),0))</f>
        <v/>
      </c>
      <c r="I32" s="197"/>
      <c r="J32" s="180"/>
      <c r="K32" s="180"/>
      <c r="L32" s="131"/>
      <c r="M32" s="131"/>
      <c r="N32" s="178"/>
      <c r="O32" s="125"/>
    </row>
    <row r="33" spans="2:15" x14ac:dyDescent="0.2">
      <c r="B33" s="176"/>
      <c r="C33" s="131"/>
      <c r="D33" s="180" t="s">
        <v>219</v>
      </c>
      <c r="E33" s="180"/>
      <c r="F33" s="180"/>
      <c r="G33" s="180"/>
      <c r="H33" s="196" t="str">
        <f>IF(ISERROR(IF(H16&gt;20,IF(P18=0,H16*LSTBerechnung2023_07!$C$69,MAX(H16/2*LSTBerechnung2023_07!$C$69,(H16-(LSTBerechnung2023_07!G11*LSTBerechnung2023_07!F17/12))*LSTBerechnung2023_07!$C$69)),IF(H16=0,0,ROUND(IF(P9=1,IF(H8&gt;LSTBerechnung2023_07!F17,LSTBerechnung2023_07!F17,H8),IF(P9=2,IF(H8&gt;(LSTBerechnung2023_07!F17/12),(LSTBerechnung2023_07!F17/12),H8),IF(P9=3,IF(H8&gt;(LSTBerechnung2023_07!F17/360*7),(LSTBerechnung2023_07!F17/360*7),H8),IF(H8&gt;(LSTBerechnung2023_07!F17/360),(LSTBerechnung2023_07!F17/360),H8))))*((H16+H17)/2*0.01),2)))),"",IF(H16&gt;20,IF(P18=0,H16*LSTBerechnung2023_07!$C$69,MAX(H16/2*LSTBerechnung2023_07!$C$69,(H16-(LSTBerechnung2023_07!G11*LSTBerechnung2023_07!F17/12))*LSTBerechnung2023_07!$C$69)),IF(H16=0,0,ROUND(IF(P9=1,IF(H8&gt;LSTBerechnung2023_07!F17,LSTBerechnung2023_07!F17,H8),IF(P9=2,IF(H8&gt;(LSTBerechnung2023_07!F17/12),(LSTBerechnung2023_07!F17/12),H8),IF(P9=3,IF(H8&gt;(LSTBerechnung2023_07!F17/360*7),(LSTBerechnung2023_07!F17/360*7),H8),IF(H8&gt;(LSTBerechnung2023_07!F17/360),(LSTBerechnung2023_07!F17/360),H8))))*((H16+H17)/2*0.01),2))))</f>
        <v/>
      </c>
      <c r="I33" s="197"/>
      <c r="J33" s="180"/>
      <c r="K33" s="180"/>
      <c r="L33" s="131"/>
      <c r="M33" s="131"/>
      <c r="N33" s="178"/>
      <c r="O33" s="125"/>
    </row>
    <row r="34" spans="2:15" x14ac:dyDescent="0.2">
      <c r="B34" s="176"/>
      <c r="C34" s="131"/>
      <c r="D34" s="180" t="s">
        <v>220</v>
      </c>
      <c r="E34" s="180"/>
      <c r="F34" s="180"/>
      <c r="G34" s="180"/>
      <c r="H34" s="196" t="str">
        <f>IF($P$2=0,"",IF(P16&gt;20,0,IF(P16=0,0,ROUND(IF(P9=1,IF(H8&gt;LSTBerechnung2023_07!F17,LSTBerechnung2023_07!F17,H8),IF(P9=2,IF(H8&gt;(LSTBerechnung2023_07!F17/12),(LSTBerechnung2023_07!F17/12),H8),IF(P9=3,IF(H8&gt;(LSTBerechnung2023_07!F17/360*7),(LSTBerechnung2023_07!F17/360*7),H8),IF(H8&gt;(LSTBerechnung2023_07!F17/360),(LSTBerechnung2023_07!F17/360),H8)))),2)))*LSTBerechnung2023_07!C11)</f>
        <v/>
      </c>
      <c r="I34" s="197"/>
      <c r="J34" s="180"/>
      <c r="K34" s="180"/>
      <c r="L34" s="131"/>
      <c r="M34" s="131"/>
      <c r="N34" s="178"/>
      <c r="O34" s="125"/>
    </row>
    <row r="35" spans="2:15" x14ac:dyDescent="0.2">
      <c r="B35" s="176"/>
      <c r="C35" s="131"/>
      <c r="D35" s="180" t="s">
        <v>221</v>
      </c>
      <c r="E35" s="180"/>
      <c r="F35" s="180"/>
      <c r="G35" s="180"/>
      <c r="H35" s="196" t="str">
        <f>IF($P$2=0,"",IF(P13=0,ROUND(IF(P9=1,IF(H8&gt;LSTBerechnung2023_07!C9,LSTBerechnung2023_07!C9,H8),IF(P9=2,IF(H8&gt;(LSTBerechnung2023_07!C9/12),(LSTBerechnung2023_07!C9/12),H8),IF(P9=3,IF(H8&gt;(LSTBerechnung2023_07!C9/360*7),(LSTBerechnung2023_07!C9/360*7),H8),IF(H8&gt;(LSTBerechnung2023_07!C9/360),(LSTBerechnung2023_07!C9/360),H8))))*LSTBerechnung2023_07!G6,2),0))</f>
        <v/>
      </c>
      <c r="I35" s="197"/>
      <c r="J35" s="180"/>
      <c r="K35" s="180"/>
      <c r="L35" s="131"/>
      <c r="M35" s="131"/>
      <c r="N35" s="178"/>
      <c r="O35" s="125"/>
    </row>
    <row r="36" spans="2:15" ht="6.75" customHeight="1" x14ac:dyDescent="0.2">
      <c r="B36" s="176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78"/>
    </row>
    <row r="37" spans="2:15" x14ac:dyDescent="0.2">
      <c r="B37" s="176"/>
      <c r="C37" s="131"/>
      <c r="D37" s="198" t="s">
        <v>27</v>
      </c>
      <c r="E37" s="198"/>
      <c r="F37" s="198"/>
      <c r="G37" s="198"/>
      <c r="H37" s="199" t="str">
        <f>IF($P$2=0,"",SUM(H28:H35))</f>
        <v/>
      </c>
      <c r="I37" s="131"/>
      <c r="J37" s="131"/>
      <c r="K37" s="131"/>
      <c r="L37" s="131"/>
      <c r="M37" s="131"/>
      <c r="N37" s="178"/>
    </row>
    <row r="38" spans="2:15" ht="13.5" thickBot="1" x14ac:dyDescent="0.25">
      <c r="B38" s="176"/>
      <c r="C38" s="131"/>
      <c r="D38" s="200" t="s">
        <v>28</v>
      </c>
      <c r="E38" s="200"/>
      <c r="F38" s="200"/>
      <c r="G38" s="200"/>
      <c r="H38" s="201" t="str">
        <f>IF(H8="","",L8-H37)</f>
        <v/>
      </c>
      <c r="I38" s="202"/>
      <c r="J38" s="202"/>
      <c r="K38" s="202"/>
      <c r="L38" s="131"/>
      <c r="M38" s="131"/>
      <c r="N38" s="178"/>
    </row>
    <row r="39" spans="2:15" ht="13.5" thickBot="1" x14ac:dyDescent="0.25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5"/>
    </row>
    <row r="41" spans="2:15" x14ac:dyDescent="0.2">
      <c r="B41" s="453" t="s">
        <v>19</v>
      </c>
      <c r="C41" s="453"/>
      <c r="D41" s="453"/>
      <c r="E41" s="73" t="s">
        <v>11</v>
      </c>
      <c r="F41" s="73" t="s">
        <v>20</v>
      </c>
    </row>
    <row r="43" spans="2:15" x14ac:dyDescent="0.2">
      <c r="B43" s="9" t="s">
        <v>211</v>
      </c>
    </row>
    <row r="44" spans="2:15" x14ac:dyDescent="0.2">
      <c r="B44" s="9" t="s">
        <v>5</v>
      </c>
    </row>
    <row r="45" spans="2:15" x14ac:dyDescent="0.2">
      <c r="B45" s="9" t="s">
        <v>6</v>
      </c>
    </row>
  </sheetData>
  <sheetProtection sheet="1" objects="1" scenarios="1"/>
  <mergeCells count="7">
    <mergeCell ref="B41:D41"/>
    <mergeCell ref="H13:I13"/>
    <mergeCell ref="H22:I22"/>
    <mergeCell ref="B4:N4"/>
    <mergeCell ref="D26:F26"/>
    <mergeCell ref="D22:F22"/>
    <mergeCell ref="D6:I6"/>
  </mergeCells>
  <phoneticPr fontId="0" type="noConversion"/>
  <conditionalFormatting sqref="L22">
    <cfRule type="cellIs" priority="3" stopIfTrue="1" operator="between">
      <formula>0</formula>
      <formula>5</formula>
    </cfRule>
  </conditionalFormatting>
  <conditionalFormatting sqref="D6">
    <cfRule type="expression" dxfId="18" priority="6" stopIfTrue="1">
      <formula>$P$2=0</formula>
    </cfRule>
  </conditionalFormatting>
  <conditionalFormatting sqref="D6:I6">
    <cfRule type="expression" dxfId="17" priority="7" stopIfTrue="1">
      <formula>$P$2=1</formula>
    </cfRule>
  </conditionalFormatting>
  <dataValidations disablePrompts="1" count="2">
    <dataValidation type="decimal" allowBlank="1" showInputMessage="1" showErrorMessage="1" sqref="L12" xr:uid="{00000000-0002-0000-0200-000000000000}">
      <formula1>0</formula1>
      <formula2>1</formula2>
    </dataValidation>
    <dataValidation allowBlank="1" showInputMessage="1" showErrorMessage="1" promptTitle="Krankenkassenzusatzbeitragssatz" prompt="Der Krankenkassenzusatzbeitragssatz, den der Arbeitnehmer alleine zu tragen hat (bisher 0,9%) wird 2014 von jeder Krankenkasse selbst festgelegt (zur Verbesserung des  Wettbewerbs)." sqref="R17:R18" xr:uid="{00000000-0002-0000-0200-000001000000}"/>
  </dataValidations>
  <hyperlinks>
    <hyperlink ref="B41:D41" location="StartseiteB5" display="&lt;&lt; Startseite" xr:uid="{00000000-0004-0000-0200-000000000000}"/>
    <hyperlink ref="E41" location="BeispielB3" display="Beispiel" xr:uid="{00000000-0004-0000-0200-000001000000}"/>
    <hyperlink ref="F41" location="HilfeB3" display="Hilfe?" xr:uid="{00000000-0004-0000-0200-000002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>
    <pageSetUpPr fitToPage="1"/>
  </sheetPr>
  <dimension ref="B2:S67"/>
  <sheetViews>
    <sheetView showGridLines="0" zoomScaleNormal="100" workbookViewId="0"/>
  </sheetViews>
  <sheetFormatPr baseColWidth="10" defaultRowHeight="12.75" x14ac:dyDescent="0.2"/>
  <cols>
    <col min="2" max="2" width="2.42578125" customWidth="1"/>
    <col min="3" max="3" width="0" hidden="1" customWidth="1"/>
    <col min="4" max="4" width="16.28515625" customWidth="1"/>
    <col min="5" max="5" width="16.42578125" customWidth="1"/>
    <col min="6" max="6" width="15.85546875" customWidth="1"/>
    <col min="7" max="7" width="3.42578125" customWidth="1"/>
    <col min="8" max="8" width="9.28515625" customWidth="1"/>
    <col min="9" max="9" width="12.42578125" customWidth="1"/>
    <col min="10" max="10" width="2" customWidth="1"/>
    <col min="11" max="11" width="12.42578125" customWidth="1"/>
    <col min="12" max="12" width="12.85546875" hidden="1" customWidth="1"/>
    <col min="13" max="13" width="3.7109375" hidden="1" customWidth="1"/>
    <col min="14" max="14" width="2.7109375" customWidth="1"/>
    <col min="16" max="16" width="11.42578125" hidden="1" customWidth="1"/>
    <col min="17" max="17" width="3" hidden="1" customWidth="1"/>
    <col min="18" max="18" width="17.28515625" hidden="1" customWidth="1"/>
    <col min="19" max="19" width="11.42578125" hidden="1" customWidth="1"/>
  </cols>
  <sheetData>
    <row r="2" spans="2:19" x14ac:dyDescent="0.2">
      <c r="N2" s="49" t="s">
        <v>11</v>
      </c>
    </row>
    <row r="3" spans="2:19" s="72" customFormat="1" ht="23.25" customHeight="1" x14ac:dyDescent="0.2">
      <c r="B3"/>
      <c r="C3"/>
      <c r="D3"/>
      <c r="E3"/>
      <c r="F3"/>
      <c r="G3"/>
      <c r="H3"/>
      <c r="I3"/>
      <c r="J3"/>
      <c r="K3"/>
      <c r="L3"/>
      <c r="M3"/>
      <c r="N3"/>
    </row>
    <row r="4" spans="2:19" ht="23.25" customHeight="1" x14ac:dyDescent="0.2"/>
    <row r="6" spans="2:19" x14ac:dyDescent="0.2">
      <c r="P6" s="54">
        <v>2</v>
      </c>
      <c r="Q6" s="54"/>
      <c r="R6" s="54"/>
      <c r="S6" s="54"/>
    </row>
    <row r="7" spans="2:19" x14ac:dyDescent="0.2">
      <c r="P7" s="69" t="s">
        <v>100</v>
      </c>
      <c r="Q7" s="54"/>
      <c r="R7" s="54"/>
      <c r="S7" s="54"/>
    </row>
    <row r="8" spans="2:19" x14ac:dyDescent="0.2">
      <c r="P8" s="54">
        <v>1</v>
      </c>
      <c r="Q8" s="54"/>
      <c r="R8" s="54"/>
      <c r="S8" s="54"/>
    </row>
    <row r="9" spans="2:19" x14ac:dyDescent="0.2">
      <c r="P9" s="54">
        <v>0.90700000000000003</v>
      </c>
      <c r="Q9" s="54"/>
      <c r="R9" s="54"/>
      <c r="S9" s="54"/>
    </row>
    <row r="10" spans="2:19" x14ac:dyDescent="0.2">
      <c r="P10" s="54">
        <v>0</v>
      </c>
      <c r="Q10" s="54"/>
      <c r="R10" s="54"/>
      <c r="S10" s="54"/>
    </row>
    <row r="11" spans="2:19" x14ac:dyDescent="0.2">
      <c r="P11" s="54">
        <v>0</v>
      </c>
      <c r="Q11" s="54"/>
      <c r="R11" s="54"/>
      <c r="S11" s="54"/>
    </row>
    <row r="12" spans="2:19" x14ac:dyDescent="0.2">
      <c r="P12" s="54">
        <v>9</v>
      </c>
      <c r="Q12" s="54"/>
      <c r="R12" s="70" t="s">
        <v>109</v>
      </c>
      <c r="S12" s="70"/>
    </row>
    <row r="13" spans="2:19" x14ac:dyDescent="0.2">
      <c r="P13" s="54">
        <v>15.5</v>
      </c>
      <c r="Q13" s="54"/>
      <c r="R13" s="54" t="s">
        <v>101</v>
      </c>
      <c r="S13" s="54">
        <v>1</v>
      </c>
    </row>
    <row r="14" spans="2:19" x14ac:dyDescent="0.2">
      <c r="P14" s="54">
        <v>1</v>
      </c>
      <c r="Q14" s="54"/>
      <c r="R14" s="54" t="s">
        <v>102</v>
      </c>
      <c r="S14" s="54">
        <v>2</v>
      </c>
    </row>
    <row r="15" spans="2:19" x14ac:dyDescent="0.2">
      <c r="P15" s="54">
        <v>0</v>
      </c>
      <c r="Q15" s="54"/>
      <c r="R15" s="54" t="s">
        <v>103</v>
      </c>
      <c r="S15" s="54">
        <v>3</v>
      </c>
    </row>
    <row r="16" spans="2:19" x14ac:dyDescent="0.2">
      <c r="P16" s="54">
        <v>0</v>
      </c>
      <c r="Q16" s="54"/>
      <c r="R16" s="54" t="s">
        <v>104</v>
      </c>
      <c r="S16" s="54">
        <v>4</v>
      </c>
    </row>
    <row r="17" spans="16:19" ht="12.75" customHeight="1" x14ac:dyDescent="0.2">
      <c r="P17" s="54">
        <v>2</v>
      </c>
      <c r="Q17" s="54"/>
      <c r="R17" s="54" t="s">
        <v>105</v>
      </c>
      <c r="S17" s="54">
        <v>5</v>
      </c>
    </row>
    <row r="18" spans="16:19" x14ac:dyDescent="0.2">
      <c r="P18" s="54">
        <v>0</v>
      </c>
      <c r="Q18" s="54"/>
      <c r="R18" s="54" t="s">
        <v>106</v>
      </c>
      <c r="S18" s="54">
        <v>6</v>
      </c>
    </row>
    <row r="19" spans="16:19" x14ac:dyDescent="0.2">
      <c r="P19" s="54">
        <v>0</v>
      </c>
      <c r="Q19" s="54"/>
      <c r="R19" s="54" t="s">
        <v>107</v>
      </c>
      <c r="S19" s="54">
        <v>7</v>
      </c>
    </row>
    <row r="20" spans="16:19" x14ac:dyDescent="0.2">
      <c r="P20" s="54"/>
      <c r="Q20" s="54"/>
      <c r="R20" s="54" t="s">
        <v>108</v>
      </c>
      <c r="S20" s="54">
        <v>0</v>
      </c>
    </row>
    <row r="21" spans="16:19" ht="12.75" customHeight="1" x14ac:dyDescent="0.2">
      <c r="P21" s="54"/>
      <c r="Q21" s="54"/>
      <c r="R21" s="54"/>
      <c r="S21" s="54"/>
    </row>
    <row r="22" spans="16:19" ht="12.75" customHeight="1" x14ac:dyDescent="0.2">
      <c r="P22" s="54"/>
      <c r="Q22" s="54"/>
      <c r="R22" s="54"/>
      <c r="S22" s="54"/>
    </row>
    <row r="23" spans="16:19" ht="12.75" customHeight="1" x14ac:dyDescent="0.2">
      <c r="P23" s="54"/>
      <c r="Q23" s="54"/>
      <c r="R23" s="54"/>
      <c r="S23" s="54"/>
    </row>
    <row r="24" spans="16:19" ht="12.75" customHeight="1" x14ac:dyDescent="0.2">
      <c r="P24" s="54"/>
      <c r="Q24" s="54"/>
      <c r="R24" s="54"/>
      <c r="S24" s="54"/>
    </row>
    <row r="25" spans="16:19" ht="12.75" customHeight="1" x14ac:dyDescent="0.2">
      <c r="P25" s="54"/>
      <c r="Q25" s="54"/>
      <c r="R25" s="54"/>
      <c r="S25" s="54"/>
    </row>
    <row r="26" spans="16:19" ht="12.75" customHeight="1" x14ac:dyDescent="0.2">
      <c r="P26" s="54"/>
      <c r="Q26" s="54"/>
      <c r="R26" s="54"/>
      <c r="S26" s="54"/>
    </row>
    <row r="27" spans="16:19" ht="12.75" customHeight="1" x14ac:dyDescent="0.2">
      <c r="P27" s="54"/>
      <c r="Q27" s="54"/>
      <c r="R27" s="54"/>
      <c r="S27" s="54"/>
    </row>
    <row r="28" spans="16:19" ht="12.75" customHeight="1" x14ac:dyDescent="0.2">
      <c r="P28" s="54"/>
      <c r="Q28" s="54"/>
      <c r="R28" s="54"/>
      <c r="S28" s="54"/>
    </row>
    <row r="29" spans="16:19" ht="12.75" customHeight="1" x14ac:dyDescent="0.2">
      <c r="P29" s="54"/>
      <c r="Q29" s="54"/>
      <c r="R29" s="54"/>
      <c r="S29" s="54"/>
    </row>
    <row r="30" spans="16:19" ht="12.75" customHeight="1" x14ac:dyDescent="0.2">
      <c r="P30" s="54"/>
      <c r="Q30" s="54"/>
      <c r="R30" s="54"/>
      <c r="S30" s="54"/>
    </row>
    <row r="31" spans="16:19" ht="12.75" customHeight="1" x14ac:dyDescent="0.2">
      <c r="P31" s="54"/>
      <c r="Q31" s="54"/>
      <c r="R31" s="54"/>
      <c r="S31" s="54"/>
    </row>
    <row r="32" spans="16:19" ht="12.75" customHeight="1" x14ac:dyDescent="0.2">
      <c r="P32" s="54"/>
      <c r="Q32" s="54"/>
      <c r="R32" s="54"/>
      <c r="S32" s="54"/>
    </row>
    <row r="33" spans="16:19" ht="12.75" customHeight="1" x14ac:dyDescent="0.2">
      <c r="P33" s="54"/>
      <c r="Q33" s="54"/>
      <c r="R33" s="54"/>
      <c r="S33" s="54"/>
    </row>
    <row r="34" spans="16:19" ht="12.75" customHeight="1" x14ac:dyDescent="0.2">
      <c r="P34" s="54"/>
      <c r="Q34" s="54"/>
      <c r="R34" s="54"/>
      <c r="S34" s="54"/>
    </row>
    <row r="35" spans="16:19" ht="12.75" customHeight="1" x14ac:dyDescent="0.2">
      <c r="P35" s="54"/>
      <c r="Q35" s="54"/>
      <c r="R35" s="54"/>
      <c r="S35" s="54"/>
    </row>
    <row r="36" spans="16:19" ht="12.75" customHeight="1" x14ac:dyDescent="0.2">
      <c r="P36" s="54"/>
      <c r="Q36" s="54"/>
      <c r="R36" s="54"/>
      <c r="S36" s="54"/>
    </row>
    <row r="37" spans="16:19" ht="12.75" customHeight="1" x14ac:dyDescent="0.2">
      <c r="P37" s="54"/>
      <c r="Q37" s="54"/>
      <c r="R37" s="54"/>
      <c r="S37" s="54"/>
    </row>
    <row r="38" spans="16:19" ht="12.75" customHeight="1" x14ac:dyDescent="0.2">
      <c r="P38" s="54"/>
      <c r="Q38" s="54"/>
      <c r="R38" s="54"/>
      <c r="S38" s="54"/>
    </row>
    <row r="39" spans="16:19" ht="12.75" customHeight="1" x14ac:dyDescent="0.2">
      <c r="P39" s="54"/>
      <c r="Q39" s="54"/>
      <c r="R39" s="54"/>
      <c r="S39" s="54"/>
    </row>
    <row r="40" spans="16:19" ht="12.75" customHeight="1" x14ac:dyDescent="0.2">
      <c r="P40" s="54"/>
      <c r="Q40" s="54"/>
      <c r="R40" s="54"/>
      <c r="S40" s="54"/>
    </row>
    <row r="41" spans="16:19" ht="12.75" customHeight="1" x14ac:dyDescent="0.2">
      <c r="P41" s="54"/>
      <c r="Q41" s="54"/>
      <c r="R41" s="54"/>
      <c r="S41" s="54"/>
    </row>
    <row r="42" spans="16:19" ht="12.75" customHeight="1" x14ac:dyDescent="0.2">
      <c r="P42" s="54"/>
      <c r="Q42" s="54"/>
      <c r="R42" s="54"/>
      <c r="S42" s="54"/>
    </row>
    <row r="43" spans="16:19" x14ac:dyDescent="0.2">
      <c r="P43" s="54"/>
      <c r="Q43" s="54"/>
      <c r="R43" s="54"/>
      <c r="S43" s="54"/>
    </row>
    <row r="44" spans="16:19" x14ac:dyDescent="0.2">
      <c r="P44" s="54"/>
      <c r="Q44" s="54"/>
      <c r="R44" s="54"/>
      <c r="S44" s="54"/>
    </row>
    <row r="45" spans="16:19" x14ac:dyDescent="0.2">
      <c r="P45" s="54"/>
      <c r="Q45" s="54"/>
      <c r="R45" s="54"/>
      <c r="S45" s="54"/>
    </row>
    <row r="46" spans="16:19" x14ac:dyDescent="0.2">
      <c r="P46" s="54"/>
      <c r="Q46" s="54"/>
      <c r="R46" s="54"/>
      <c r="S46" s="54"/>
    </row>
    <row r="47" spans="16:19" x14ac:dyDescent="0.2">
      <c r="P47" s="54"/>
      <c r="Q47" s="54"/>
      <c r="R47" s="54"/>
      <c r="S47" s="54"/>
    </row>
    <row r="48" spans="16:19" ht="12.75" customHeight="1" x14ac:dyDescent="0.2"/>
    <row r="49" spans="2:5" ht="12.75" customHeight="1" x14ac:dyDescent="0.2"/>
    <row r="50" spans="2:5" ht="12.75" customHeight="1" x14ac:dyDescent="0.2"/>
    <row r="51" spans="2:5" ht="12.75" customHeight="1" x14ac:dyDescent="0.2"/>
    <row r="52" spans="2:5" ht="12.75" customHeight="1" x14ac:dyDescent="0.2"/>
    <row r="53" spans="2:5" ht="12.75" customHeight="1" x14ac:dyDescent="0.2"/>
    <row r="54" spans="2:5" ht="12.75" customHeight="1" x14ac:dyDescent="0.2"/>
    <row r="55" spans="2:5" ht="12.75" customHeight="1" x14ac:dyDescent="0.2"/>
    <row r="56" spans="2:5" ht="12.75" customHeight="1" x14ac:dyDescent="0.2"/>
    <row r="57" spans="2:5" ht="12.75" customHeight="1" x14ac:dyDescent="0.2"/>
    <row r="58" spans="2:5" ht="12.75" hidden="1" customHeight="1" x14ac:dyDescent="0.2"/>
    <row r="59" spans="2:5" ht="12.75" hidden="1" customHeight="1" x14ac:dyDescent="0.2"/>
    <row r="60" spans="2:5" ht="12.75" hidden="1" customHeight="1" x14ac:dyDescent="0.2"/>
    <row r="61" spans="2:5" hidden="1" x14ac:dyDescent="0.2"/>
    <row r="62" spans="2:5" hidden="1" x14ac:dyDescent="0.2"/>
    <row r="63" spans="2:5" x14ac:dyDescent="0.2">
      <c r="B63" s="453" t="s">
        <v>19</v>
      </c>
      <c r="C63" s="453"/>
      <c r="D63" s="453"/>
      <c r="E63" s="73" t="s">
        <v>20</v>
      </c>
    </row>
    <row r="65" spans="2:2" x14ac:dyDescent="0.2">
      <c r="B65" s="9" t="s">
        <v>211</v>
      </c>
    </row>
    <row r="66" spans="2:2" x14ac:dyDescent="0.2">
      <c r="B66" s="9" t="s">
        <v>5</v>
      </c>
    </row>
    <row r="67" spans="2:2" x14ac:dyDescent="0.2">
      <c r="B67" s="9" t="s">
        <v>6</v>
      </c>
    </row>
  </sheetData>
  <sheetProtection sheet="1" objects="1" scenarios="1"/>
  <mergeCells count="1">
    <mergeCell ref="B63:D63"/>
  </mergeCells>
  <phoneticPr fontId="0" type="noConversion"/>
  <hyperlinks>
    <hyperlink ref="B63:D63" location="StartseiteB5" display="&lt;&lt; Startseite" xr:uid="{00000000-0004-0000-0300-000000000000}"/>
    <hyperlink ref="E63" location="HilfeB3" display="Hilfe?" xr:uid="{00000000-0004-0000-0300-00000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3">
    <tabColor indexed="10"/>
  </sheetPr>
  <dimension ref="B3:F35"/>
  <sheetViews>
    <sheetView showGridLines="0" workbookViewId="0">
      <selection activeCell="B33" sqref="B33"/>
    </sheetView>
  </sheetViews>
  <sheetFormatPr baseColWidth="10" defaultColWidth="11.42578125" defaultRowHeight="12.75" x14ac:dyDescent="0.2"/>
  <cols>
    <col min="1" max="1" width="11.42578125" style="3" customWidth="1"/>
    <col min="2" max="2" width="2.85546875" style="3" bestFit="1" customWidth="1"/>
    <col min="3" max="3" width="18.7109375" style="3" bestFit="1" customWidth="1"/>
    <col min="4" max="4" width="49" style="3" bestFit="1" customWidth="1"/>
    <col min="5" max="5" width="34.28515625" style="3" customWidth="1"/>
    <col min="6" max="6" width="11.28515625" style="3" customWidth="1"/>
    <col min="7" max="16384" width="11.42578125" style="3"/>
  </cols>
  <sheetData>
    <row r="3" spans="2:6" ht="13.5" thickBot="1" x14ac:dyDescent="0.25"/>
    <row r="4" spans="2:6" ht="13.5" thickBot="1" x14ac:dyDescent="0.25">
      <c r="B4" s="29" t="s">
        <v>7</v>
      </c>
      <c r="C4" s="30" t="s">
        <v>3</v>
      </c>
      <c r="D4" s="30" t="s">
        <v>8</v>
      </c>
      <c r="E4" s="31" t="s">
        <v>9</v>
      </c>
      <c r="F4" s="10"/>
    </row>
    <row r="5" spans="2:6" x14ac:dyDescent="0.2">
      <c r="B5" s="32">
        <v>1</v>
      </c>
      <c r="C5" s="12" t="s">
        <v>10</v>
      </c>
      <c r="D5" s="12" t="s">
        <v>120</v>
      </c>
      <c r="E5" s="33" t="s">
        <v>16</v>
      </c>
    </row>
    <row r="6" spans="2:6" x14ac:dyDescent="0.2">
      <c r="B6" s="32">
        <v>2</v>
      </c>
      <c r="C6" s="12" t="s">
        <v>15</v>
      </c>
      <c r="D6" s="12" t="s">
        <v>121</v>
      </c>
      <c r="E6" s="33" t="s">
        <v>18</v>
      </c>
    </row>
    <row r="7" spans="2:6" x14ac:dyDescent="0.2">
      <c r="B7" s="32">
        <v>3</v>
      </c>
      <c r="C7" s="12" t="s">
        <v>11</v>
      </c>
      <c r="D7" s="12" t="s">
        <v>122</v>
      </c>
      <c r="E7" s="33" t="s">
        <v>17</v>
      </c>
    </row>
    <row r="8" spans="2:6" x14ac:dyDescent="0.2">
      <c r="B8" s="32">
        <v>4</v>
      </c>
      <c r="C8" s="12" t="s">
        <v>12</v>
      </c>
      <c r="D8" s="12" t="s">
        <v>13</v>
      </c>
      <c r="E8" s="33" t="s">
        <v>14</v>
      </c>
    </row>
    <row r="9" spans="2:6" x14ac:dyDescent="0.2">
      <c r="B9" s="32"/>
      <c r="C9" s="12"/>
      <c r="D9" s="12"/>
      <c r="E9" s="33"/>
    </row>
    <row r="10" spans="2:6" x14ac:dyDescent="0.2">
      <c r="B10" s="32"/>
      <c r="C10" s="12"/>
      <c r="D10" s="12"/>
      <c r="E10" s="33"/>
    </row>
    <row r="11" spans="2:6" x14ac:dyDescent="0.2">
      <c r="B11" s="32"/>
      <c r="C11" s="12"/>
      <c r="D11" s="12"/>
      <c r="E11" s="33"/>
    </row>
    <row r="12" spans="2:6" x14ac:dyDescent="0.2">
      <c r="B12" s="32"/>
      <c r="C12" s="12"/>
      <c r="D12" s="12"/>
      <c r="E12" s="33"/>
    </row>
    <row r="13" spans="2:6" x14ac:dyDescent="0.2">
      <c r="B13" s="32"/>
      <c r="C13" s="12"/>
      <c r="D13" s="12"/>
      <c r="E13" s="33"/>
    </row>
    <row r="14" spans="2:6" x14ac:dyDescent="0.2">
      <c r="B14" s="32"/>
      <c r="C14" s="12"/>
      <c r="D14" s="12"/>
      <c r="E14" s="33"/>
    </row>
    <row r="15" spans="2:6" x14ac:dyDescent="0.2">
      <c r="B15" s="32"/>
      <c r="C15" s="12"/>
      <c r="D15" s="12"/>
      <c r="E15" s="33"/>
    </row>
    <row r="16" spans="2:6" x14ac:dyDescent="0.2">
      <c r="B16" s="32"/>
      <c r="C16" s="12"/>
      <c r="D16" s="12"/>
      <c r="E16" s="33"/>
    </row>
    <row r="17" spans="2:5" x14ac:dyDescent="0.2">
      <c r="B17" s="32"/>
      <c r="C17" s="12"/>
      <c r="D17" s="12"/>
      <c r="E17" s="33"/>
    </row>
    <row r="18" spans="2:5" x14ac:dyDescent="0.2">
      <c r="B18" s="32"/>
      <c r="C18" s="12"/>
      <c r="D18" s="12"/>
      <c r="E18" s="33"/>
    </row>
    <row r="19" spans="2:5" x14ac:dyDescent="0.2">
      <c r="B19" s="32"/>
      <c r="C19" s="12"/>
      <c r="D19" s="12"/>
      <c r="E19" s="33"/>
    </row>
    <row r="20" spans="2:5" x14ac:dyDescent="0.2">
      <c r="B20" s="32"/>
      <c r="C20" s="12"/>
      <c r="D20" s="12"/>
      <c r="E20" s="33"/>
    </row>
    <row r="21" spans="2:5" x14ac:dyDescent="0.2">
      <c r="B21" s="32"/>
      <c r="C21" s="12"/>
      <c r="D21" s="12"/>
      <c r="E21" s="33"/>
    </row>
    <row r="22" spans="2:5" x14ac:dyDescent="0.2">
      <c r="B22" s="32"/>
      <c r="C22" s="12"/>
      <c r="D22" s="12"/>
      <c r="E22" s="33"/>
    </row>
    <row r="23" spans="2:5" x14ac:dyDescent="0.2">
      <c r="B23" s="32"/>
      <c r="C23" s="12"/>
      <c r="D23" s="12"/>
      <c r="E23" s="33"/>
    </row>
    <row r="24" spans="2:5" x14ac:dyDescent="0.2">
      <c r="B24" s="32"/>
      <c r="C24" s="12"/>
      <c r="D24" s="12"/>
      <c r="E24" s="33"/>
    </row>
    <row r="25" spans="2:5" x14ac:dyDescent="0.2">
      <c r="B25" s="32"/>
      <c r="C25" s="12"/>
      <c r="D25" s="12"/>
      <c r="E25" s="33"/>
    </row>
    <row r="26" spans="2:5" x14ac:dyDescent="0.2">
      <c r="B26" s="32"/>
      <c r="C26" s="12"/>
      <c r="D26" s="12"/>
      <c r="E26" s="33"/>
    </row>
    <row r="27" spans="2:5" x14ac:dyDescent="0.2">
      <c r="B27" s="32"/>
      <c r="C27" s="12"/>
      <c r="D27" s="12"/>
      <c r="E27" s="33"/>
    </row>
    <row r="28" spans="2:5" x14ac:dyDescent="0.2">
      <c r="B28" s="32"/>
      <c r="C28" s="12"/>
      <c r="D28" s="12"/>
      <c r="E28" s="33"/>
    </row>
    <row r="29" spans="2:5" x14ac:dyDescent="0.2">
      <c r="B29" s="32"/>
      <c r="C29" s="12"/>
      <c r="D29" s="12"/>
      <c r="E29" s="33"/>
    </row>
    <row r="30" spans="2:5" ht="13.5" thickBot="1" x14ac:dyDescent="0.25">
      <c r="B30" s="34"/>
      <c r="C30" s="35"/>
      <c r="D30" s="35"/>
      <c r="E30" s="36"/>
    </row>
    <row r="33" spans="2:2" x14ac:dyDescent="0.2">
      <c r="B33" s="9" t="s">
        <v>124</v>
      </c>
    </row>
    <row r="34" spans="2:2" x14ac:dyDescent="0.2">
      <c r="B34" s="9" t="s">
        <v>5</v>
      </c>
    </row>
    <row r="35" spans="2:2" x14ac:dyDescent="0.2">
      <c r="B35" s="9" t="s">
        <v>6</v>
      </c>
    </row>
  </sheetData>
  <sheetProtection sheet="1" objects="1" scenarios="1"/>
  <phoneticPr fontId="25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pageSetUpPr autoPageBreaks="0" fitToPage="1"/>
  </sheetPr>
  <dimension ref="A2:IR20"/>
  <sheetViews>
    <sheetView showGridLines="0" showZeros="0" showOutlineSymbols="0" zoomScaleNormal="10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3" customWidth="1"/>
    <col min="2" max="3" width="1.5703125" style="3" customWidth="1"/>
    <col min="4" max="4" width="71.7109375" style="3" customWidth="1"/>
    <col min="5" max="5" width="1.5703125" style="3" customWidth="1"/>
    <col min="6" max="6" width="1.7109375" style="3" customWidth="1"/>
    <col min="7" max="7" width="2.7109375" style="3" customWidth="1"/>
    <col min="8" max="16384" width="11.42578125" style="3"/>
  </cols>
  <sheetData>
    <row r="2" spans="1:252" ht="13.5" thickBot="1" x14ac:dyDescent="0.25">
      <c r="F2" s="13" t="s">
        <v>12</v>
      </c>
    </row>
    <row r="3" spans="1:252" s="1" customFormat="1" ht="25.5" customHeight="1" thickBot="1" x14ac:dyDescent="0.25">
      <c r="A3" s="3"/>
      <c r="B3" s="468" t="s">
        <v>213</v>
      </c>
      <c r="C3" s="469"/>
      <c r="D3" s="469"/>
      <c r="E3" s="469"/>
      <c r="F3" s="47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x14ac:dyDescent="0.2">
      <c r="B4" s="4"/>
      <c r="F4" s="5"/>
    </row>
    <row r="5" spans="1:252" x14ac:dyDescent="0.2">
      <c r="B5" s="4"/>
      <c r="C5" s="44"/>
      <c r="D5" s="43" t="s">
        <v>0</v>
      </c>
      <c r="E5" s="2"/>
      <c r="F5" s="5"/>
    </row>
    <row r="6" spans="1:252" ht="261" customHeight="1" x14ac:dyDescent="0.2">
      <c r="B6" s="4"/>
      <c r="C6" s="37"/>
      <c r="D6" s="38"/>
      <c r="E6" s="39"/>
      <c r="F6" s="5"/>
    </row>
    <row r="7" spans="1:252" ht="13.5" thickBot="1" x14ac:dyDescent="0.25">
      <c r="B7" s="4"/>
      <c r="C7" s="40"/>
      <c r="D7" s="41"/>
      <c r="E7" s="42"/>
      <c r="F7" s="5"/>
    </row>
    <row r="8" spans="1:252" x14ac:dyDescent="0.2">
      <c r="B8" s="4"/>
      <c r="F8" s="5"/>
    </row>
    <row r="9" spans="1:252" x14ac:dyDescent="0.2">
      <c r="B9" s="4"/>
      <c r="C9" s="44"/>
      <c r="D9" s="43" t="s">
        <v>110</v>
      </c>
      <c r="E9" s="2"/>
      <c r="F9" s="5"/>
    </row>
    <row r="10" spans="1:252" x14ac:dyDescent="0.2">
      <c r="B10" s="4"/>
      <c r="C10" s="45"/>
      <c r="D10" s="46"/>
      <c r="E10" s="39"/>
      <c r="F10" s="5"/>
    </row>
    <row r="11" spans="1:252" ht="62.25" customHeight="1" x14ac:dyDescent="0.2">
      <c r="B11" s="4"/>
      <c r="C11" s="37"/>
      <c r="D11" s="47"/>
      <c r="E11" s="48"/>
      <c r="F11" s="5"/>
    </row>
    <row r="12" spans="1:252" ht="68.45" customHeight="1" x14ac:dyDescent="0.2">
      <c r="B12" s="4"/>
      <c r="C12" s="37"/>
      <c r="D12" s="47"/>
      <c r="E12" s="48"/>
      <c r="F12" s="5"/>
    </row>
    <row r="13" spans="1:252" ht="4.5" customHeight="1" thickBot="1" x14ac:dyDescent="0.25">
      <c r="B13" s="4"/>
      <c r="C13" s="40"/>
      <c r="D13" s="41"/>
      <c r="E13" s="42"/>
      <c r="F13" s="5"/>
    </row>
    <row r="14" spans="1:252" ht="13.5" thickBot="1" x14ac:dyDescent="0.25">
      <c r="B14" s="6"/>
      <c r="C14" s="7"/>
      <c r="D14" s="7"/>
      <c r="E14" s="7"/>
      <c r="F14" s="8"/>
    </row>
    <row r="16" spans="1:252" x14ac:dyDescent="0.2">
      <c r="B16" s="471" t="s">
        <v>21</v>
      </c>
      <c r="C16" s="471"/>
      <c r="D16" s="471"/>
    </row>
    <row r="17" spans="2:2" x14ac:dyDescent="0.2">
      <c r="B17" s="9"/>
    </row>
    <row r="18" spans="2:2" x14ac:dyDescent="0.2">
      <c r="B18" s="9" t="s">
        <v>211</v>
      </c>
    </row>
    <row r="19" spans="2:2" x14ac:dyDescent="0.2">
      <c r="B19" s="9" t="s">
        <v>5</v>
      </c>
    </row>
    <row r="20" spans="2:2" x14ac:dyDescent="0.2">
      <c r="B20" s="9" t="s">
        <v>6</v>
      </c>
    </row>
  </sheetData>
  <sheetProtection sheet="1" objects="1" scenarios="1"/>
  <mergeCells count="2">
    <mergeCell ref="B3:F3"/>
    <mergeCell ref="B16:D16"/>
  </mergeCells>
  <phoneticPr fontId="5" type="noConversion"/>
  <hyperlinks>
    <hyperlink ref="B16:D16" location="StartseiteB5" display="&lt;&lt; Starseite" xr:uid="{00000000-0004-0000-05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F5BA-D0E5-429D-A3EB-E7E11D4324E7}">
  <sheetPr codeName="Tabelle14"/>
  <dimension ref="A1:U69"/>
  <sheetViews>
    <sheetView zoomScale="85" zoomScaleNormal="85" workbookViewId="0">
      <selection activeCell="L45" sqref="L45"/>
    </sheetView>
  </sheetViews>
  <sheetFormatPr baseColWidth="10" defaultRowHeight="12.75" x14ac:dyDescent="0.2"/>
  <cols>
    <col min="1" max="2" width="11.42578125" style="214"/>
    <col min="3" max="3" width="11.85546875" style="214" bestFit="1" customWidth="1"/>
    <col min="4" max="4" width="11.42578125" style="214"/>
    <col min="5" max="5" width="18.42578125" style="214" bestFit="1" customWidth="1"/>
    <col min="6" max="6" width="12" style="214" bestFit="1" customWidth="1"/>
    <col min="7" max="14" width="11.42578125" style="214"/>
    <col min="15" max="15" width="6.140625" style="214" bestFit="1" customWidth="1"/>
    <col min="16" max="16" width="36" style="214" customWidth="1"/>
    <col min="17" max="261" width="11.42578125" style="214"/>
    <col min="262" max="262" width="18.42578125" style="214" bestFit="1" customWidth="1"/>
    <col min="263" max="517" width="11.42578125" style="214"/>
    <col min="518" max="518" width="18.42578125" style="214" bestFit="1" customWidth="1"/>
    <col min="519" max="773" width="11.42578125" style="214"/>
    <col min="774" max="774" width="18.42578125" style="214" bestFit="1" customWidth="1"/>
    <col min="775" max="1029" width="11.42578125" style="214"/>
    <col min="1030" max="1030" width="18.42578125" style="214" bestFit="1" customWidth="1"/>
    <col min="1031" max="1285" width="11.42578125" style="214"/>
    <col min="1286" max="1286" width="18.42578125" style="214" bestFit="1" customWidth="1"/>
    <col min="1287" max="1541" width="11.42578125" style="214"/>
    <col min="1542" max="1542" width="18.42578125" style="214" bestFit="1" customWidth="1"/>
    <col min="1543" max="1797" width="11.42578125" style="214"/>
    <col min="1798" max="1798" width="18.42578125" style="214" bestFit="1" customWidth="1"/>
    <col min="1799" max="2053" width="11.42578125" style="214"/>
    <col min="2054" max="2054" width="18.42578125" style="214" bestFit="1" customWidth="1"/>
    <col min="2055" max="2309" width="11.42578125" style="214"/>
    <col min="2310" max="2310" width="18.42578125" style="214" bestFit="1" customWidth="1"/>
    <col min="2311" max="2565" width="11.42578125" style="214"/>
    <col min="2566" max="2566" width="18.42578125" style="214" bestFit="1" customWidth="1"/>
    <col min="2567" max="2821" width="11.42578125" style="214"/>
    <col min="2822" max="2822" width="18.42578125" style="214" bestFit="1" customWidth="1"/>
    <col min="2823" max="3077" width="11.42578125" style="214"/>
    <col min="3078" max="3078" width="18.42578125" style="214" bestFit="1" customWidth="1"/>
    <col min="3079" max="3333" width="11.42578125" style="214"/>
    <col min="3334" max="3334" width="18.42578125" style="214" bestFit="1" customWidth="1"/>
    <col min="3335" max="3589" width="11.42578125" style="214"/>
    <col min="3590" max="3590" width="18.42578125" style="214" bestFit="1" customWidth="1"/>
    <col min="3591" max="3845" width="11.42578125" style="214"/>
    <col min="3846" max="3846" width="18.42578125" style="214" bestFit="1" customWidth="1"/>
    <col min="3847" max="4101" width="11.42578125" style="214"/>
    <col min="4102" max="4102" width="18.42578125" style="214" bestFit="1" customWidth="1"/>
    <col min="4103" max="4357" width="11.42578125" style="214"/>
    <col min="4358" max="4358" width="18.42578125" style="214" bestFit="1" customWidth="1"/>
    <col min="4359" max="4613" width="11.42578125" style="214"/>
    <col min="4614" max="4614" width="18.42578125" style="214" bestFit="1" customWidth="1"/>
    <col min="4615" max="4869" width="11.42578125" style="214"/>
    <col min="4870" max="4870" width="18.42578125" style="214" bestFit="1" customWidth="1"/>
    <col min="4871" max="5125" width="11.42578125" style="214"/>
    <col min="5126" max="5126" width="18.42578125" style="214" bestFit="1" customWidth="1"/>
    <col min="5127" max="5381" width="11.42578125" style="214"/>
    <col min="5382" max="5382" width="18.42578125" style="214" bestFit="1" customWidth="1"/>
    <col min="5383" max="5637" width="11.42578125" style="214"/>
    <col min="5638" max="5638" width="18.42578125" style="214" bestFit="1" customWidth="1"/>
    <col min="5639" max="5893" width="11.42578125" style="214"/>
    <col min="5894" max="5894" width="18.42578125" style="214" bestFit="1" customWidth="1"/>
    <col min="5895" max="6149" width="11.42578125" style="214"/>
    <col min="6150" max="6150" width="18.42578125" style="214" bestFit="1" customWidth="1"/>
    <col min="6151" max="6405" width="11.42578125" style="214"/>
    <col min="6406" max="6406" width="18.42578125" style="214" bestFit="1" customWidth="1"/>
    <col min="6407" max="6661" width="11.42578125" style="214"/>
    <col min="6662" max="6662" width="18.42578125" style="214" bestFit="1" customWidth="1"/>
    <col min="6663" max="6917" width="11.42578125" style="214"/>
    <col min="6918" max="6918" width="18.42578125" style="214" bestFit="1" customWidth="1"/>
    <col min="6919" max="7173" width="11.42578125" style="214"/>
    <col min="7174" max="7174" width="18.42578125" style="214" bestFit="1" customWidth="1"/>
    <col min="7175" max="7429" width="11.42578125" style="214"/>
    <col min="7430" max="7430" width="18.42578125" style="214" bestFit="1" customWidth="1"/>
    <col min="7431" max="7685" width="11.42578125" style="214"/>
    <col min="7686" max="7686" width="18.42578125" style="214" bestFit="1" customWidth="1"/>
    <col min="7687" max="7941" width="11.42578125" style="214"/>
    <col min="7942" max="7942" width="18.42578125" style="214" bestFit="1" customWidth="1"/>
    <col min="7943" max="8197" width="11.42578125" style="214"/>
    <col min="8198" max="8198" width="18.42578125" style="214" bestFit="1" customWidth="1"/>
    <col min="8199" max="8453" width="11.42578125" style="214"/>
    <col min="8454" max="8454" width="18.42578125" style="214" bestFit="1" customWidth="1"/>
    <col min="8455" max="8709" width="11.42578125" style="214"/>
    <col min="8710" max="8710" width="18.42578125" style="214" bestFit="1" customWidth="1"/>
    <col min="8711" max="8965" width="11.42578125" style="214"/>
    <col min="8966" max="8966" width="18.42578125" style="214" bestFit="1" customWidth="1"/>
    <col min="8967" max="9221" width="11.42578125" style="214"/>
    <col min="9222" max="9222" width="18.42578125" style="214" bestFit="1" customWidth="1"/>
    <col min="9223" max="9477" width="11.42578125" style="214"/>
    <col min="9478" max="9478" width="18.42578125" style="214" bestFit="1" customWidth="1"/>
    <col min="9479" max="9733" width="11.42578125" style="214"/>
    <col min="9734" max="9734" width="18.42578125" style="214" bestFit="1" customWidth="1"/>
    <col min="9735" max="9989" width="11.42578125" style="214"/>
    <col min="9990" max="9990" width="18.42578125" style="214" bestFit="1" customWidth="1"/>
    <col min="9991" max="10245" width="11.42578125" style="214"/>
    <col min="10246" max="10246" width="18.42578125" style="214" bestFit="1" customWidth="1"/>
    <col min="10247" max="10501" width="11.42578125" style="214"/>
    <col min="10502" max="10502" width="18.42578125" style="214" bestFit="1" customWidth="1"/>
    <col min="10503" max="10757" width="11.42578125" style="214"/>
    <col min="10758" max="10758" width="18.42578125" style="214" bestFit="1" customWidth="1"/>
    <col min="10759" max="11013" width="11.42578125" style="214"/>
    <col min="11014" max="11014" width="18.42578125" style="214" bestFit="1" customWidth="1"/>
    <col min="11015" max="11269" width="11.42578125" style="214"/>
    <col min="11270" max="11270" width="18.42578125" style="214" bestFit="1" customWidth="1"/>
    <col min="11271" max="11525" width="11.42578125" style="214"/>
    <col min="11526" max="11526" width="18.42578125" style="214" bestFit="1" customWidth="1"/>
    <col min="11527" max="11781" width="11.42578125" style="214"/>
    <col min="11782" max="11782" width="18.42578125" style="214" bestFit="1" customWidth="1"/>
    <col min="11783" max="12037" width="11.42578125" style="214"/>
    <col min="12038" max="12038" width="18.42578125" style="214" bestFit="1" customWidth="1"/>
    <col min="12039" max="12293" width="11.42578125" style="214"/>
    <col min="12294" max="12294" width="18.42578125" style="214" bestFit="1" customWidth="1"/>
    <col min="12295" max="12549" width="11.42578125" style="214"/>
    <col min="12550" max="12550" width="18.42578125" style="214" bestFit="1" customWidth="1"/>
    <col min="12551" max="12805" width="11.42578125" style="214"/>
    <col min="12806" max="12806" width="18.42578125" style="214" bestFit="1" customWidth="1"/>
    <col min="12807" max="13061" width="11.42578125" style="214"/>
    <col min="13062" max="13062" width="18.42578125" style="214" bestFit="1" customWidth="1"/>
    <col min="13063" max="13317" width="11.42578125" style="214"/>
    <col min="13318" max="13318" width="18.42578125" style="214" bestFit="1" customWidth="1"/>
    <col min="13319" max="13573" width="11.42578125" style="214"/>
    <col min="13574" max="13574" width="18.42578125" style="214" bestFit="1" customWidth="1"/>
    <col min="13575" max="13829" width="11.42578125" style="214"/>
    <col min="13830" max="13830" width="18.42578125" style="214" bestFit="1" customWidth="1"/>
    <col min="13831" max="14085" width="11.42578125" style="214"/>
    <col min="14086" max="14086" width="18.42578125" style="214" bestFit="1" customWidth="1"/>
    <col min="14087" max="14341" width="11.42578125" style="214"/>
    <col min="14342" max="14342" width="18.42578125" style="214" bestFit="1" customWidth="1"/>
    <col min="14343" max="14597" width="11.42578125" style="214"/>
    <col min="14598" max="14598" width="18.42578125" style="214" bestFit="1" customWidth="1"/>
    <col min="14599" max="14853" width="11.42578125" style="214"/>
    <col min="14854" max="14854" width="18.42578125" style="214" bestFit="1" customWidth="1"/>
    <col min="14855" max="15109" width="11.42578125" style="214"/>
    <col min="15110" max="15110" width="18.42578125" style="214" bestFit="1" customWidth="1"/>
    <col min="15111" max="15365" width="11.42578125" style="214"/>
    <col min="15366" max="15366" width="18.42578125" style="214" bestFit="1" customWidth="1"/>
    <col min="15367" max="15621" width="11.42578125" style="214"/>
    <col min="15622" max="15622" width="18.42578125" style="214" bestFit="1" customWidth="1"/>
    <col min="15623" max="15877" width="11.42578125" style="214"/>
    <col min="15878" max="15878" width="18.42578125" style="214" bestFit="1" customWidth="1"/>
    <col min="15879" max="16133" width="11.42578125" style="214"/>
    <col min="16134" max="16134" width="18.42578125" style="214" bestFit="1" customWidth="1"/>
    <col min="16135" max="16384" width="11.42578125" style="214"/>
  </cols>
  <sheetData>
    <row r="1" spans="1:21" ht="27" thickBot="1" x14ac:dyDescent="0.4">
      <c r="A1" s="211" t="s">
        <v>170</v>
      </c>
      <c r="B1" s="212">
        <v>2023</v>
      </c>
      <c r="C1" s="213"/>
      <c r="E1" s="215" t="str">
        <f>"SOZ-VS-BEITRAGSSÄTZE  "&amp;BearbJahr</f>
        <v>SOZ-VS-BEITRAGSSÄTZE  2023</v>
      </c>
      <c r="F1" s="216"/>
      <c r="G1" s="217"/>
      <c r="I1" s="476" t="s">
        <v>22</v>
      </c>
      <c r="J1" s="477"/>
      <c r="K1" s="477"/>
      <c r="L1" s="477"/>
      <c r="M1" s="477"/>
      <c r="O1" s="478" t="s">
        <v>220</v>
      </c>
      <c r="P1" s="479"/>
      <c r="Q1" s="436" t="s">
        <v>229</v>
      </c>
      <c r="R1" s="436" t="s">
        <v>188</v>
      </c>
      <c r="S1" s="440" t="s">
        <v>187</v>
      </c>
      <c r="T1" s="437" t="s">
        <v>228</v>
      </c>
      <c r="U1" s="437" t="s">
        <v>228</v>
      </c>
    </row>
    <row r="2" spans="1:21" ht="15.75" thickBot="1" x14ac:dyDescent="0.3">
      <c r="A2" s="218" t="s">
        <v>150</v>
      </c>
      <c r="B2" s="219" t="s">
        <v>31</v>
      </c>
      <c r="C2" s="369">
        <f>IF(Berechnung!P11&gt;4,0,Berechnung!P14)</f>
        <v>0</v>
      </c>
      <c r="E2" s="220" t="s">
        <v>169</v>
      </c>
      <c r="F2" s="221" t="s">
        <v>168</v>
      </c>
      <c r="G2" s="222" t="s">
        <v>167</v>
      </c>
      <c r="I2" s="223" t="s">
        <v>195</v>
      </c>
      <c r="J2" s="223" t="s">
        <v>196</v>
      </c>
      <c r="K2" s="223" t="s">
        <v>197</v>
      </c>
      <c r="L2" s="223" t="s">
        <v>46</v>
      </c>
      <c r="M2" s="223" t="s">
        <v>47</v>
      </c>
      <c r="O2" s="480" t="s">
        <v>222</v>
      </c>
      <c r="P2" s="481"/>
      <c r="Q2" s="282">
        <v>0</v>
      </c>
      <c r="R2" s="434">
        <v>2.3E-2</v>
      </c>
      <c r="S2" s="441">
        <v>1.7000000000000001E-2</v>
      </c>
      <c r="T2" s="435">
        <v>2.8000000000000001E-2</v>
      </c>
      <c r="U2" s="435">
        <v>1.2E-2</v>
      </c>
    </row>
    <row r="3" spans="1:21" x14ac:dyDescent="0.2">
      <c r="A3" s="224"/>
      <c r="B3" s="225" t="s">
        <v>33</v>
      </c>
      <c r="C3" s="370">
        <f>Berechnung!P9</f>
        <v>1</v>
      </c>
      <c r="E3" s="227" t="s">
        <v>166</v>
      </c>
      <c r="F3" s="404">
        <v>0.14599999999999999</v>
      </c>
      <c r="G3" s="124">
        <f>F3/2+F4</f>
        <v>7.2999999999999995E-2</v>
      </c>
      <c r="I3" s="229"/>
      <c r="J3" s="229"/>
      <c r="K3" s="229">
        <v>0</v>
      </c>
      <c r="L3" s="229">
        <v>0</v>
      </c>
      <c r="M3" s="229">
        <v>0</v>
      </c>
      <c r="O3" s="472" t="s">
        <v>223</v>
      </c>
      <c r="P3" s="473"/>
      <c r="Q3" s="254">
        <v>1</v>
      </c>
      <c r="R3" s="429">
        <v>1.7000000000000001E-2</v>
      </c>
      <c r="S3" s="442">
        <v>1.7000000000000001E-2</v>
      </c>
      <c r="T3" s="430">
        <v>2.2000000000000002E-2</v>
      </c>
      <c r="U3" s="430">
        <v>1.2E-2</v>
      </c>
    </row>
    <row r="4" spans="1:21" x14ac:dyDescent="0.2">
      <c r="A4" s="224"/>
      <c r="B4" s="225" t="s">
        <v>34</v>
      </c>
      <c r="C4" s="370">
        <f>Berechnung!P13</f>
        <v>0</v>
      </c>
      <c r="E4" s="230" t="s">
        <v>164</v>
      </c>
      <c r="F4" s="405">
        <f>Eingaben!H13/100</f>
        <v>0</v>
      </c>
      <c r="G4" s="124">
        <f>F4/2+0.07</f>
        <v>7.0000000000000007E-2</v>
      </c>
      <c r="I4" s="232" t="s">
        <v>198</v>
      </c>
      <c r="J4" s="232" t="s">
        <v>199</v>
      </c>
      <c r="K4" s="229">
        <v>1</v>
      </c>
      <c r="L4" s="417">
        <v>0.4</v>
      </c>
      <c r="M4" s="229">
        <v>1900</v>
      </c>
      <c r="O4" s="472" t="s">
        <v>224</v>
      </c>
      <c r="P4" s="473"/>
      <c r="Q4" s="254">
        <v>2</v>
      </c>
      <c r="R4" s="429">
        <v>1.4499999999999999E-2</v>
      </c>
      <c r="S4" s="442">
        <v>1.7000000000000001E-2</v>
      </c>
      <c r="T4" s="430">
        <v>1.95E-2</v>
      </c>
      <c r="U4" s="430">
        <v>1.2E-2</v>
      </c>
    </row>
    <row r="5" spans="1:21" x14ac:dyDescent="0.2">
      <c r="A5" s="224"/>
      <c r="B5" s="225" t="s">
        <v>35</v>
      </c>
      <c r="C5" s="371" t="e">
        <f>ROUNDDOWN(IF(C3=1,Berechnung!H8*100,IF(C3=2,(Berechnung!H8*100)*12,IF(C3=3,((Berechnung!H8*100)*360)/7,(Berechnung!H8*100)*360))),2)</f>
        <v>#VALUE!</v>
      </c>
      <c r="E5" s="227" t="s">
        <v>163</v>
      </c>
      <c r="F5" s="406">
        <v>0.186</v>
      </c>
      <c r="G5" s="124">
        <f>F5/2</f>
        <v>9.2999999999999999E-2</v>
      </c>
      <c r="I5" s="229">
        <v>1941</v>
      </c>
      <c r="J5" s="229">
        <v>2006</v>
      </c>
      <c r="K5" s="229">
        <v>2</v>
      </c>
      <c r="L5" s="417">
        <v>0.38400000000000001</v>
      </c>
      <c r="M5" s="229">
        <v>1824</v>
      </c>
      <c r="O5" s="472" t="s">
        <v>225</v>
      </c>
      <c r="P5" s="473"/>
      <c r="Q5" s="254">
        <v>3</v>
      </c>
      <c r="R5" s="429">
        <v>1.2E-2</v>
      </c>
      <c r="S5" s="442">
        <v>1.7000000000000001E-2</v>
      </c>
      <c r="T5" s="430">
        <v>1.7000000000000001E-2</v>
      </c>
      <c r="U5" s="430">
        <v>1.2E-2</v>
      </c>
    </row>
    <row r="6" spans="1:21" x14ac:dyDescent="0.2">
      <c r="A6" s="224"/>
      <c r="B6" s="225" t="s">
        <v>36</v>
      </c>
      <c r="C6" s="372">
        <f>+Berechnung!P11</f>
        <v>1</v>
      </c>
      <c r="E6" s="230" t="s">
        <v>162</v>
      </c>
      <c r="F6" s="405">
        <v>2.5999999999999999E-2</v>
      </c>
      <c r="G6" s="124">
        <f>F6/2</f>
        <v>1.2999999999999999E-2</v>
      </c>
      <c r="I6" s="229">
        <v>1942</v>
      </c>
      <c r="J6" s="229">
        <v>2007</v>
      </c>
      <c r="K6" s="229">
        <v>3</v>
      </c>
      <c r="L6" s="417">
        <v>0.36799999999999999</v>
      </c>
      <c r="M6" s="229">
        <v>1748</v>
      </c>
      <c r="O6" s="472" t="s">
        <v>226</v>
      </c>
      <c r="P6" s="473"/>
      <c r="Q6" s="254">
        <v>4</v>
      </c>
      <c r="R6" s="429">
        <v>9.499999999999998E-3</v>
      </c>
      <c r="S6" s="442">
        <v>1.7000000000000001E-2</v>
      </c>
      <c r="T6" s="430">
        <v>1.4499999999999999E-2</v>
      </c>
      <c r="U6" s="430">
        <v>1.2E-2</v>
      </c>
    </row>
    <row r="7" spans="1:21" ht="13.5" thickBot="1" x14ac:dyDescent="0.25">
      <c r="A7" s="224"/>
      <c r="B7" s="225" t="s">
        <v>39</v>
      </c>
      <c r="C7" s="373">
        <f>IF(C6=6,0,Berechnung!P23*100)</f>
        <v>0</v>
      </c>
      <c r="E7" s="230" t="s">
        <v>161</v>
      </c>
      <c r="F7" s="231">
        <f>+SUM(Q12:Q13)</f>
        <v>0.04</v>
      </c>
      <c r="G7" s="228">
        <f>+Q12</f>
        <v>2.3E-2</v>
      </c>
      <c r="H7" s="214" t="s">
        <v>160</v>
      </c>
      <c r="I7" s="229">
        <v>1943</v>
      </c>
      <c r="J7" s="229">
        <v>2008</v>
      </c>
      <c r="K7" s="229">
        <v>4</v>
      </c>
      <c r="L7" s="417">
        <v>0.35199999999999998</v>
      </c>
      <c r="M7" s="229">
        <v>1672</v>
      </c>
      <c r="O7" s="474" t="s">
        <v>227</v>
      </c>
      <c r="P7" s="475"/>
      <c r="Q7" s="431">
        <v>5</v>
      </c>
      <c r="R7" s="432">
        <v>6.9999999999999993E-3</v>
      </c>
      <c r="S7" s="443">
        <v>1.7000000000000001E-2</v>
      </c>
      <c r="T7" s="433">
        <v>1.2E-2</v>
      </c>
      <c r="U7" s="433">
        <v>1.2E-2</v>
      </c>
    </row>
    <row r="8" spans="1:21" x14ac:dyDescent="0.2">
      <c r="A8" s="224"/>
      <c r="B8" s="225" t="s">
        <v>37</v>
      </c>
      <c r="C8" s="374">
        <f>Berechnung!P24*100</f>
        <v>0</v>
      </c>
      <c r="E8" s="230" t="s">
        <v>159</v>
      </c>
      <c r="F8" s="228">
        <f>+Q12</f>
        <v>2.3E-2</v>
      </c>
      <c r="G8" s="234"/>
      <c r="I8" s="229">
        <v>1944</v>
      </c>
      <c r="J8" s="229">
        <v>2009</v>
      </c>
      <c r="K8" s="229">
        <v>5</v>
      </c>
      <c r="L8" s="417">
        <v>0.33600000000000002</v>
      </c>
      <c r="M8" s="229">
        <v>1596</v>
      </c>
    </row>
    <row r="9" spans="1:21" x14ac:dyDescent="0.2">
      <c r="A9" s="224"/>
      <c r="B9" s="225" t="s">
        <v>135</v>
      </c>
      <c r="C9" s="375">
        <f>IF(Berechnung!P20=0,F15,F16)</f>
        <v>87600</v>
      </c>
      <c r="E9" s="230" t="s">
        <v>159</v>
      </c>
      <c r="F9" s="228">
        <v>0</v>
      </c>
      <c r="G9" s="235"/>
      <c r="I9" s="229">
        <v>1945</v>
      </c>
      <c r="J9" s="229">
        <v>2010</v>
      </c>
      <c r="K9" s="229">
        <v>6</v>
      </c>
      <c r="L9" s="417">
        <v>0.32</v>
      </c>
      <c r="M9" s="229">
        <v>1520</v>
      </c>
      <c r="O9" s="214" t="s">
        <v>230</v>
      </c>
      <c r="Q9" s="229">
        <f>IF(ISNUMBER(Berechnung!P19),Berechnung!P19,0)</f>
        <v>0</v>
      </c>
    </row>
    <row r="10" spans="1:21" x14ac:dyDescent="0.2">
      <c r="A10" s="224"/>
      <c r="B10" s="225" t="s">
        <v>42</v>
      </c>
      <c r="C10" s="375">
        <f>IF(Eingaben!H12&gt;20,MAX($C$31,ROUNDDOWN(Eingaben!H12*12,2)-IF(Eingaben!P14=1,IF(Eingaben!P16=1,SUM(F11,F7,-F8),SUM(F11,F7/2))*MIN(C5/100,F17),0)),0)</f>
        <v>0</v>
      </c>
      <c r="E10" s="230" t="s">
        <v>200</v>
      </c>
      <c r="F10" s="404">
        <v>1.6E-2</v>
      </c>
      <c r="G10" s="235"/>
      <c r="I10" s="229">
        <v>1946</v>
      </c>
      <c r="J10" s="229">
        <v>2011</v>
      </c>
      <c r="K10" s="229">
        <v>7</v>
      </c>
      <c r="L10" s="417">
        <v>0.30399999999999999</v>
      </c>
      <c r="M10" s="229">
        <v>1444</v>
      </c>
      <c r="O10" s="214" t="s">
        <v>231</v>
      </c>
      <c r="Q10" s="229">
        <f>IF(ISNUMBER(Berechnung!P21),Berechnung!P21,0)</f>
        <v>0</v>
      </c>
    </row>
    <row r="11" spans="1:21" x14ac:dyDescent="0.2">
      <c r="A11" s="236"/>
      <c r="B11" s="225" t="s">
        <v>43</v>
      </c>
      <c r="C11" s="444">
        <f>+Q12</f>
        <v>2.3E-2</v>
      </c>
      <c r="E11" s="237" t="s">
        <v>156</v>
      </c>
      <c r="F11" s="407">
        <v>7.8E-2</v>
      </c>
      <c r="G11" s="234">
        <f>F3/2+F7-G7+F10/2</f>
        <v>9.8000000000000004E-2</v>
      </c>
      <c r="H11" s="214" t="s">
        <v>155</v>
      </c>
      <c r="I11" s="229">
        <v>1947</v>
      </c>
      <c r="J11" s="229">
        <v>2012</v>
      </c>
      <c r="K11" s="229">
        <v>8</v>
      </c>
      <c r="L11" s="417">
        <v>0.28799999999999998</v>
      </c>
      <c r="M11" s="229">
        <v>1368</v>
      </c>
    </row>
    <row r="12" spans="1:21" x14ac:dyDescent="0.2">
      <c r="A12" s="224"/>
      <c r="B12" s="225" t="s">
        <v>44</v>
      </c>
      <c r="C12" s="377">
        <f>IF(OR(OR(Berechnung!P12=0,Berechnung!P12&gt;1),Berechnung!P11&lt;&gt;4),1,Berechnung!P12)</f>
        <v>1</v>
      </c>
      <c r="I12" s="229">
        <v>1948</v>
      </c>
      <c r="J12" s="229">
        <v>2013</v>
      </c>
      <c r="K12" s="229">
        <v>9</v>
      </c>
      <c r="L12" s="417">
        <v>0.27200000000000002</v>
      </c>
      <c r="M12" s="229">
        <v>1292</v>
      </c>
      <c r="O12" s="214" t="s">
        <v>232</v>
      </c>
      <c r="Q12" s="429">
        <f>+IF(Q10=0,VLOOKUP(Q9,Q2:R7,2,FALSE),VLOOKUP(Q9,Q2:T7,4,FALSE))</f>
        <v>2.3E-2</v>
      </c>
    </row>
    <row r="13" spans="1:21" s="225" customFormat="1" ht="16.5" x14ac:dyDescent="0.25">
      <c r="A13" s="240" t="s">
        <v>45</v>
      </c>
      <c r="B13" s="241" t="s">
        <v>46</v>
      </c>
      <c r="C13" s="370">
        <f>VLOOKUP(Eingaben!T26,K3:L23,2,FALSE)</f>
        <v>0</v>
      </c>
      <c r="D13" s="214"/>
      <c r="E13" s="121" t="s">
        <v>154</v>
      </c>
      <c r="F13" s="120"/>
      <c r="G13" s="119"/>
      <c r="H13" s="214"/>
      <c r="I13" s="229">
        <v>1949</v>
      </c>
      <c r="J13" s="229">
        <v>2014</v>
      </c>
      <c r="K13" s="229">
        <v>10</v>
      </c>
      <c r="L13" s="417">
        <v>0.25600000000000001</v>
      </c>
      <c r="M13" s="229">
        <v>1216</v>
      </c>
      <c r="O13" s="214" t="s">
        <v>233</v>
      </c>
      <c r="Q13" s="429">
        <f>+IF(Q10=0,VLOOKUP(Q9,Q2:S7,3,FALSE),VLOOKUP(Q9,Q2:U7,5,FALSE))</f>
        <v>1.7000000000000001E-2</v>
      </c>
    </row>
    <row r="14" spans="1:21" s="225" customFormat="1" ht="15.75" thickBot="1" x14ac:dyDescent="0.3">
      <c r="B14" s="225" t="s">
        <v>47</v>
      </c>
      <c r="C14" s="370">
        <f>VLOOKUP(Eingaben!T26,K3:M23,3,FALSE)*100</f>
        <v>0</v>
      </c>
      <c r="D14" s="214"/>
      <c r="E14" s="243" t="s">
        <v>153</v>
      </c>
      <c r="F14" s="244" t="s">
        <v>152</v>
      </c>
      <c r="G14" s="243" t="s">
        <v>151</v>
      </c>
      <c r="H14" s="214"/>
      <c r="I14" s="229">
        <v>1950</v>
      </c>
      <c r="J14" s="229">
        <v>2015</v>
      </c>
      <c r="K14" s="229">
        <v>11</v>
      </c>
      <c r="L14" s="418">
        <v>0.24</v>
      </c>
      <c r="M14" s="245">
        <v>1140</v>
      </c>
    </row>
    <row r="15" spans="1:21" s="225" customFormat="1" ht="13.5" thickTop="1" x14ac:dyDescent="0.2">
      <c r="B15" s="225" t="s">
        <v>48</v>
      </c>
      <c r="C15" s="226">
        <f>C14</f>
        <v>0</v>
      </c>
      <c r="D15" s="214"/>
      <c r="E15" s="227" t="s">
        <v>135</v>
      </c>
      <c r="F15" s="392">
        <v>87600</v>
      </c>
      <c r="G15" s="247" t="s">
        <v>150</v>
      </c>
      <c r="H15" s="214"/>
      <c r="I15" s="229">
        <v>1951</v>
      </c>
      <c r="J15" s="229">
        <v>2016</v>
      </c>
      <c r="K15" s="229">
        <v>12</v>
      </c>
      <c r="L15" s="418">
        <v>0.224</v>
      </c>
      <c r="M15" s="245">
        <v>1064</v>
      </c>
    </row>
    <row r="16" spans="1:21" s="225" customFormat="1" x14ac:dyDescent="0.2">
      <c r="B16" s="225" t="s">
        <v>49</v>
      </c>
      <c r="C16" s="370">
        <f>IF(Berechnung!P22=0,0,IF((C5*C13)&gt;C15,C15,C5*C13))</f>
        <v>0</v>
      </c>
      <c r="D16" s="214"/>
      <c r="E16" s="227" t="s">
        <v>135</v>
      </c>
      <c r="F16" s="393">
        <v>85200</v>
      </c>
      <c r="G16" s="249"/>
      <c r="H16" s="214"/>
      <c r="I16" s="229">
        <v>1952</v>
      </c>
      <c r="J16" s="229">
        <v>2017</v>
      </c>
      <c r="K16" s="229">
        <v>13</v>
      </c>
      <c r="L16" s="418">
        <v>0.20799999999999999</v>
      </c>
      <c r="M16" s="245">
        <v>988</v>
      </c>
    </row>
    <row r="17" spans="1:16" s="225" customFormat="1" x14ac:dyDescent="0.2">
      <c r="B17" s="225" t="s">
        <v>50</v>
      </c>
      <c r="C17" s="422" t="e">
        <f>C5-C8+C7-C16</f>
        <v>#VALUE!</v>
      </c>
      <c r="D17" s="214"/>
      <c r="E17" s="227" t="s">
        <v>149</v>
      </c>
      <c r="F17" s="392">
        <v>59850</v>
      </c>
      <c r="G17" s="249"/>
      <c r="H17" s="214"/>
      <c r="I17" s="229">
        <v>1953</v>
      </c>
      <c r="J17" s="229">
        <v>2018</v>
      </c>
      <c r="K17" s="229">
        <v>14</v>
      </c>
      <c r="L17" s="418">
        <v>0.192</v>
      </c>
      <c r="M17" s="245">
        <v>912</v>
      </c>
    </row>
    <row r="18" spans="1:16" s="225" customFormat="1" x14ac:dyDescent="0.2">
      <c r="B18" s="225" t="s">
        <v>51</v>
      </c>
      <c r="C18" s="422" t="e">
        <f>C5</f>
        <v>#VALUE!</v>
      </c>
      <c r="D18" s="214"/>
      <c r="E18" s="230" t="s">
        <v>148</v>
      </c>
      <c r="F18" s="394">
        <v>7.8000000000000014E-2</v>
      </c>
      <c r="G18" s="249"/>
      <c r="H18" s="214"/>
      <c r="I18" s="229">
        <v>1954</v>
      </c>
      <c r="J18" s="229">
        <v>2019</v>
      </c>
      <c r="K18" s="229">
        <v>15</v>
      </c>
      <c r="L18" s="418">
        <v>0.17599999999999999</v>
      </c>
      <c r="M18" s="245">
        <v>836</v>
      </c>
      <c r="O18" s="225">
        <f>0.008+0.07</f>
        <v>7.8000000000000014E-2</v>
      </c>
    </row>
    <row r="19" spans="1:16" s="225" customFormat="1" x14ac:dyDescent="0.2">
      <c r="C19" s="226"/>
      <c r="D19" s="214"/>
      <c r="E19" s="252" t="s">
        <v>147</v>
      </c>
      <c r="F19" s="395">
        <v>1</v>
      </c>
      <c r="G19" s="249"/>
      <c r="H19" s="214"/>
      <c r="I19" s="229">
        <v>1955</v>
      </c>
      <c r="J19" s="229">
        <v>2020</v>
      </c>
      <c r="K19" s="229">
        <v>16</v>
      </c>
      <c r="L19" s="418">
        <v>0.16</v>
      </c>
      <c r="M19" s="245">
        <v>760</v>
      </c>
    </row>
    <row r="20" spans="1:16" s="225" customFormat="1" x14ac:dyDescent="0.2">
      <c r="A20" s="240" t="s">
        <v>52</v>
      </c>
      <c r="B20" s="241" t="s">
        <v>50</v>
      </c>
      <c r="C20" s="426" t="e">
        <f>C17/100</f>
        <v>#VALUE!</v>
      </c>
      <c r="D20" s="214"/>
      <c r="E20" s="254" t="s">
        <v>146</v>
      </c>
      <c r="F20" s="396">
        <v>12485</v>
      </c>
      <c r="G20" s="249"/>
      <c r="H20" s="214"/>
      <c r="I20" s="229">
        <v>1956</v>
      </c>
      <c r="J20" s="229">
        <v>2021</v>
      </c>
      <c r="K20" s="229">
        <v>17</v>
      </c>
      <c r="L20" s="418">
        <v>0.152</v>
      </c>
      <c r="M20" s="245">
        <v>722</v>
      </c>
    </row>
    <row r="21" spans="1:16" s="225" customFormat="1" x14ac:dyDescent="0.2">
      <c r="B21" s="225" t="s">
        <v>51</v>
      </c>
      <c r="C21" s="426" t="e">
        <f>C18/100</f>
        <v>#VALUE!</v>
      </c>
      <c r="D21" s="214"/>
      <c r="E21" s="254" t="s">
        <v>145</v>
      </c>
      <c r="F21" s="396">
        <v>31404</v>
      </c>
      <c r="G21" s="249"/>
      <c r="H21" s="214"/>
      <c r="I21" s="229">
        <v>1957</v>
      </c>
      <c r="J21" s="229">
        <v>2022</v>
      </c>
      <c r="K21" s="229">
        <v>18</v>
      </c>
      <c r="L21" s="418">
        <v>0.14399999999999999</v>
      </c>
      <c r="M21" s="245">
        <v>684</v>
      </c>
    </row>
    <row r="22" spans="1:16" s="225" customFormat="1" x14ac:dyDescent="0.2">
      <c r="C22" s="226"/>
      <c r="D22" s="214"/>
      <c r="E22" s="254" t="s">
        <v>144</v>
      </c>
      <c r="F22" s="396">
        <v>222260</v>
      </c>
      <c r="G22" s="249"/>
      <c r="H22" s="214"/>
      <c r="I22" s="408">
        <v>1958</v>
      </c>
      <c r="J22" s="408">
        <v>2023</v>
      </c>
      <c r="K22" s="408">
        <v>19</v>
      </c>
      <c r="L22" s="419">
        <v>0.13600000000000001</v>
      </c>
      <c r="M22" s="409">
        <v>646</v>
      </c>
    </row>
    <row r="23" spans="1:16" x14ac:dyDescent="0.2">
      <c r="A23" s="256" t="s">
        <v>53</v>
      </c>
      <c r="B23" s="241" t="s">
        <v>54</v>
      </c>
      <c r="C23" s="426">
        <f>IF(C6=3,2,1)</f>
        <v>1</v>
      </c>
      <c r="E23" s="254" t="s">
        <v>143</v>
      </c>
      <c r="F23" s="396">
        <v>10908</v>
      </c>
      <c r="G23" s="249"/>
      <c r="I23" s="214">
        <v>1959</v>
      </c>
      <c r="J23" s="214">
        <v>2024</v>
      </c>
      <c r="K23" s="214">
        <v>20</v>
      </c>
      <c r="L23" s="420"/>
      <c r="M23" s="225"/>
    </row>
    <row r="24" spans="1:16" ht="13.5" thickBot="1" x14ac:dyDescent="0.25">
      <c r="A24" s="257"/>
      <c r="B24" s="225" t="s">
        <v>55</v>
      </c>
      <c r="C24" s="422">
        <f>F25</f>
        <v>1230</v>
      </c>
      <c r="E24" s="258" t="s">
        <v>90</v>
      </c>
      <c r="F24" s="397">
        <v>17543</v>
      </c>
      <c r="G24" s="260"/>
      <c r="I24" s="214">
        <v>1960</v>
      </c>
      <c r="J24" s="214">
        <v>2025</v>
      </c>
      <c r="K24" s="214">
        <v>21</v>
      </c>
      <c r="L24" s="421">
        <v>0.12</v>
      </c>
      <c r="M24" s="214">
        <v>570</v>
      </c>
    </row>
    <row r="25" spans="1:16" ht="13.5" thickTop="1" x14ac:dyDescent="0.2">
      <c r="A25" s="257"/>
      <c r="B25" s="225" t="s">
        <v>56</v>
      </c>
      <c r="C25" s="426">
        <f>IF(C6=2,F26,0)</f>
        <v>0</v>
      </c>
      <c r="E25" s="230" t="s">
        <v>55</v>
      </c>
      <c r="F25" s="416">
        <v>1230</v>
      </c>
      <c r="G25" s="262" t="s">
        <v>53</v>
      </c>
      <c r="I25" s="214">
        <v>1961</v>
      </c>
      <c r="J25" s="214">
        <v>2026</v>
      </c>
      <c r="K25" s="214">
        <v>22</v>
      </c>
      <c r="L25" s="421">
        <v>0.112</v>
      </c>
      <c r="M25" s="214">
        <v>532</v>
      </c>
    </row>
    <row r="26" spans="1:16" x14ac:dyDescent="0.2">
      <c r="A26" s="224"/>
      <c r="B26" s="225" t="s">
        <v>57</v>
      </c>
      <c r="C26" s="426">
        <f>IF(C6&gt;5,0,F27)</f>
        <v>36</v>
      </c>
      <c r="E26" s="230" t="s">
        <v>56</v>
      </c>
      <c r="F26" s="393">
        <v>4260</v>
      </c>
      <c r="G26" s="249"/>
      <c r="I26" s="214">
        <v>1962</v>
      </c>
      <c r="J26" s="214">
        <v>2027</v>
      </c>
      <c r="K26" s="214">
        <v>23</v>
      </c>
      <c r="L26" s="421">
        <v>0.104</v>
      </c>
      <c r="M26" s="214">
        <v>494</v>
      </c>
      <c r="O26" s="413" t="s">
        <v>216</v>
      </c>
      <c r="P26" s="214" t="s">
        <v>215</v>
      </c>
    </row>
    <row r="27" spans="1:16" x14ac:dyDescent="0.2">
      <c r="A27" s="224"/>
      <c r="B27" s="225" t="s">
        <v>58</v>
      </c>
      <c r="C27" s="426">
        <f>IF(C6&lt;4,C2*F28,IF(C6=4,C2*F28/2,0))</f>
        <v>0</v>
      </c>
      <c r="E27" s="252" t="s">
        <v>57</v>
      </c>
      <c r="F27" s="398">
        <v>36</v>
      </c>
      <c r="G27" s="249"/>
      <c r="I27" s="214">
        <v>1963</v>
      </c>
      <c r="J27" s="214">
        <v>2028</v>
      </c>
      <c r="K27" s="214">
        <v>24</v>
      </c>
      <c r="L27" s="421">
        <v>9.6000000000000002E-2</v>
      </c>
      <c r="M27" s="214">
        <v>456</v>
      </c>
    </row>
    <row r="28" spans="1:16" ht="13.5" thickBot="1" x14ac:dyDescent="0.25">
      <c r="A28" s="224"/>
      <c r="B28" s="225" t="s">
        <v>59</v>
      </c>
      <c r="C28" s="422">
        <f>IF(C6=6,0,C24+C25+C26)</f>
        <v>1266</v>
      </c>
      <c r="E28" s="264" t="s">
        <v>58</v>
      </c>
      <c r="F28" s="399">
        <v>8952</v>
      </c>
      <c r="G28" s="260"/>
      <c r="I28" s="214">
        <v>1964</v>
      </c>
      <c r="J28" s="214">
        <v>2029</v>
      </c>
      <c r="K28" s="214">
        <v>25</v>
      </c>
      <c r="L28" s="421">
        <v>8.7999999999999995E-2</v>
      </c>
      <c r="M28" s="214">
        <v>418</v>
      </c>
    </row>
    <row r="29" spans="1:16" ht="13.5" thickTop="1" x14ac:dyDescent="0.2">
      <c r="A29" s="256" t="s">
        <v>60</v>
      </c>
      <c r="B29" s="241" t="s">
        <v>51</v>
      </c>
      <c r="C29" s="422" t="e">
        <f>MIN(C9,C21)</f>
        <v>#VALUE!</v>
      </c>
      <c r="E29" s="227" t="s">
        <v>142</v>
      </c>
      <c r="F29" s="400">
        <v>1900</v>
      </c>
      <c r="G29" s="268" t="s">
        <v>60</v>
      </c>
      <c r="I29" s="214">
        <v>1965</v>
      </c>
      <c r="J29" s="214">
        <v>2030</v>
      </c>
      <c r="K29" s="214">
        <v>26</v>
      </c>
      <c r="L29" s="421">
        <v>0.08</v>
      </c>
      <c r="M29" s="214">
        <v>380</v>
      </c>
      <c r="O29" s="230" t="s">
        <v>55</v>
      </c>
      <c r="P29" s="411">
        <v>1230</v>
      </c>
    </row>
    <row r="30" spans="1:16" ht="13.5" thickBot="1" x14ac:dyDescent="0.25">
      <c r="A30" s="224"/>
      <c r="B30" s="225" t="s">
        <v>61</v>
      </c>
      <c r="C30" s="423" t="e">
        <f>IF(C4=1,0,ROUNDDOWN(F19*C29*G5,2))</f>
        <v>#VALUE!</v>
      </c>
      <c r="E30" s="264" t="s">
        <v>142</v>
      </c>
      <c r="F30" s="399">
        <v>3000</v>
      </c>
      <c r="G30" s="260"/>
      <c r="I30" s="214">
        <v>1966</v>
      </c>
      <c r="J30" s="214">
        <v>2031</v>
      </c>
      <c r="K30" s="214">
        <v>27</v>
      </c>
      <c r="L30" s="421">
        <v>7.1999999999999995E-2</v>
      </c>
      <c r="M30" s="214">
        <v>342</v>
      </c>
      <c r="O30" s="230" t="s">
        <v>56</v>
      </c>
      <c r="P30" s="412">
        <v>4260</v>
      </c>
    </row>
    <row r="31" spans="1:16" ht="13.5" thickTop="1" x14ac:dyDescent="0.2">
      <c r="A31" s="224"/>
      <c r="B31" s="225" t="s">
        <v>62</v>
      </c>
      <c r="C31" s="423">
        <f>IF(C23=1,F29,F30)</f>
        <v>1900</v>
      </c>
      <c r="E31" s="270"/>
      <c r="F31" s="401">
        <v>0.42</v>
      </c>
      <c r="G31" s="247" t="s">
        <v>71</v>
      </c>
      <c r="I31" s="214">
        <v>1967</v>
      </c>
      <c r="J31" s="214">
        <v>2032</v>
      </c>
      <c r="K31" s="214">
        <v>28</v>
      </c>
      <c r="L31" s="421">
        <v>6.4000000000000001E-2</v>
      </c>
      <c r="M31" s="214">
        <v>304</v>
      </c>
    </row>
    <row r="32" spans="1:16" ht="13.5" thickBot="1" x14ac:dyDescent="0.25">
      <c r="A32" s="224"/>
      <c r="B32" s="225" t="s">
        <v>63</v>
      </c>
      <c r="C32" s="423" t="e">
        <f>MIN(C31,ROUNDDOWN(0.12*C29,2))</f>
        <v>#VALUE!</v>
      </c>
      <c r="E32" s="272"/>
      <c r="F32" s="402">
        <v>0.45</v>
      </c>
      <c r="G32" s="272"/>
      <c r="I32" s="214">
        <v>1968</v>
      </c>
      <c r="J32" s="214">
        <v>2033</v>
      </c>
      <c r="K32" s="214">
        <v>29</v>
      </c>
      <c r="L32" s="421">
        <v>5.6000000000000001E-2</v>
      </c>
      <c r="M32" s="214">
        <v>266</v>
      </c>
    </row>
    <row r="33" spans="1:13" x14ac:dyDescent="0.2">
      <c r="A33" s="224"/>
      <c r="B33" s="391" t="str">
        <f>IF(Eingaben!H12=0,"KVSatz=0",(Eingaben!H12 +Eingaben!H13)/2 &amp; " % + PV")</f>
        <v>KVSatz=0</v>
      </c>
      <c r="C33" s="425">
        <f>IF(Berechnung!P16=0,0,G4+C11)</f>
        <v>9.2999999999999999E-2</v>
      </c>
      <c r="E33" s="249" t="s">
        <v>141</v>
      </c>
      <c r="F33" s="414">
        <v>5.5</v>
      </c>
      <c r="G33" s="268" t="s">
        <v>89</v>
      </c>
      <c r="I33" s="214">
        <v>1969</v>
      </c>
      <c r="J33" s="214">
        <v>2034</v>
      </c>
      <c r="K33" s="214">
        <v>30</v>
      </c>
      <c r="L33" s="421">
        <v>4.8000000000000001E-2</v>
      </c>
      <c r="M33" s="214">
        <v>228</v>
      </c>
    </row>
    <row r="34" spans="1:13" ht="13.5" thickBot="1" x14ac:dyDescent="0.25">
      <c r="A34" s="224"/>
      <c r="B34" s="275" t="s">
        <v>64</v>
      </c>
      <c r="C34" s="424" t="e">
        <f>IF(C10&gt;0,IF(C6=6,0,C10),ROUNDDOWN(MIN(C21,F17)*C33*100,0)/100)</f>
        <v>#VALUE!</v>
      </c>
      <c r="D34" s="274"/>
      <c r="E34" s="260"/>
      <c r="F34" s="415">
        <v>11.9</v>
      </c>
      <c r="G34" s="278" t="s">
        <v>201</v>
      </c>
      <c r="I34" s="214">
        <v>1970</v>
      </c>
      <c r="J34" s="214">
        <v>2035</v>
      </c>
      <c r="K34" s="214">
        <v>31</v>
      </c>
      <c r="L34" s="421">
        <v>0.04</v>
      </c>
      <c r="M34" s="214">
        <v>190</v>
      </c>
    </row>
    <row r="35" spans="1:13" ht="13.5" thickTop="1" x14ac:dyDescent="0.2">
      <c r="A35" s="224"/>
      <c r="B35" s="225" t="s">
        <v>65</v>
      </c>
      <c r="C35" s="423" t="e">
        <f>IF(C34&gt;C31,C34,C32)</f>
        <v>#VALUE!</v>
      </c>
      <c r="E35" s="249"/>
      <c r="F35" s="396">
        <v>16000</v>
      </c>
      <c r="G35" s="268" t="s">
        <v>205</v>
      </c>
      <c r="I35" s="214">
        <v>1971</v>
      </c>
      <c r="J35" s="214">
        <v>2036</v>
      </c>
      <c r="K35" s="214">
        <v>32</v>
      </c>
      <c r="L35" s="421">
        <v>3.2000000000000001E-2</v>
      </c>
      <c r="M35" s="214">
        <v>152</v>
      </c>
    </row>
    <row r="36" spans="1:13" x14ac:dyDescent="0.2">
      <c r="A36" s="224"/>
      <c r="B36" s="225" t="s">
        <v>66</v>
      </c>
      <c r="C36" s="423" t="e">
        <f>ROUNDUP(C30+C35,0)</f>
        <v>#VALUE!</v>
      </c>
      <c r="E36" s="249"/>
      <c r="F36" s="396">
        <v>62810</v>
      </c>
      <c r="G36" s="249"/>
      <c r="I36" s="214">
        <v>1972</v>
      </c>
      <c r="J36" s="214">
        <v>2037</v>
      </c>
      <c r="K36" s="214">
        <v>33</v>
      </c>
      <c r="L36" s="421">
        <v>2.4E-2</v>
      </c>
      <c r="M36" s="214">
        <v>114</v>
      </c>
    </row>
    <row r="37" spans="1:13" x14ac:dyDescent="0.2">
      <c r="A37" s="256" t="s">
        <v>67</v>
      </c>
      <c r="B37" s="241" t="s">
        <v>68</v>
      </c>
      <c r="C37" s="422" t="e">
        <f>ROUNDDOWN(C20-C28-C36,0)</f>
        <v>#VALUE!</v>
      </c>
      <c r="E37" s="249"/>
      <c r="F37" s="396">
        <v>277826</v>
      </c>
      <c r="G37" s="249"/>
      <c r="I37" s="214">
        <v>1973</v>
      </c>
      <c r="J37" s="214">
        <v>2038</v>
      </c>
      <c r="K37" s="214">
        <v>34</v>
      </c>
      <c r="L37" s="421">
        <v>1.6E-2</v>
      </c>
      <c r="M37" s="214">
        <v>76</v>
      </c>
    </row>
    <row r="38" spans="1:13" x14ac:dyDescent="0.2">
      <c r="A38" s="279"/>
      <c r="B38" s="225" t="s">
        <v>69</v>
      </c>
      <c r="C38" s="422" t="e">
        <f>MAX(0,ROUNDDOWN(C37/C23,0))</f>
        <v>#VALUE!</v>
      </c>
      <c r="E38" s="249"/>
      <c r="F38" s="403">
        <v>192.59</v>
      </c>
      <c r="G38" s="249"/>
      <c r="I38" s="214">
        <v>1974</v>
      </c>
      <c r="J38" s="214">
        <v>2039</v>
      </c>
      <c r="K38" s="214">
        <v>35</v>
      </c>
      <c r="L38" s="421">
        <v>8.0000000000000002E-3</v>
      </c>
      <c r="M38" s="214">
        <v>38</v>
      </c>
    </row>
    <row r="39" spans="1:13" x14ac:dyDescent="0.2">
      <c r="A39" s="256" t="s">
        <v>139</v>
      </c>
      <c r="B39" s="241" t="s">
        <v>70</v>
      </c>
      <c r="C39" s="266" t="e">
        <f>IF(C38&lt;=F23,0,IF(C38&lt;=F35,INT((F41*(C38-F23)/10000+F42)*(C38-F23)/10000),IF(C38&lt;=F36,INT((F38*(C38-F35)/10000+F39)*(C38-F35)/10000+F40),IF(C38&lt;F37,INT(C38*F31-F43),INT(C38*F32-F44)))))*C23</f>
        <v>#VALUE!</v>
      </c>
      <c r="E39" s="249"/>
      <c r="F39" s="396">
        <v>2397</v>
      </c>
      <c r="G39" s="249"/>
      <c r="I39" s="214">
        <v>1975</v>
      </c>
      <c r="J39" s="214">
        <v>2040</v>
      </c>
      <c r="K39" s="214">
        <v>36</v>
      </c>
      <c r="L39" s="421">
        <v>0</v>
      </c>
      <c r="M39" s="214">
        <v>0</v>
      </c>
    </row>
    <row r="40" spans="1:13" x14ac:dyDescent="0.2">
      <c r="A40" s="256" t="s">
        <v>71</v>
      </c>
      <c r="B40" s="241" t="s">
        <v>72</v>
      </c>
      <c r="C40" s="423" t="e">
        <f>MIN(F21,C38)*1.25</f>
        <v>#VALUE!</v>
      </c>
      <c r="E40" s="249"/>
      <c r="F40" s="403">
        <v>966.53</v>
      </c>
      <c r="G40" s="249"/>
    </row>
    <row r="41" spans="1:13" x14ac:dyDescent="0.2">
      <c r="A41" s="224"/>
      <c r="B41" s="225" t="s">
        <v>73</v>
      </c>
      <c r="C41" s="250" t="e">
        <f>IF(C40&lt;=F23,0,IF(C40&lt;=F35,INT((F41*(C40-F23)/10000+F42)*(C40-F23)/10000),IF(C40&lt;=F36,INT((F38*(C40-F35)/10000+F39)*(C40-F35)/10000+F40),IF(C40&lt;=F37,INT(C40*F31-F43),INT(C40*F32-F44)))))</f>
        <v>#VALUE!</v>
      </c>
      <c r="E41" s="249"/>
      <c r="F41" s="403">
        <v>979.18</v>
      </c>
      <c r="G41" s="249"/>
    </row>
    <row r="42" spans="1:13" x14ac:dyDescent="0.2">
      <c r="A42" s="224"/>
      <c r="B42" s="225" t="s">
        <v>72</v>
      </c>
      <c r="C42" s="422" t="e">
        <f>MIN(F21,C38)*0.75</f>
        <v>#VALUE!</v>
      </c>
      <c r="E42" s="249"/>
      <c r="F42" s="396">
        <v>1400</v>
      </c>
      <c r="G42" s="249"/>
    </row>
    <row r="43" spans="1:13" x14ac:dyDescent="0.2">
      <c r="A43" s="224"/>
      <c r="B43" s="225" t="s">
        <v>74</v>
      </c>
      <c r="C43" s="226" t="e">
        <f>IF(C42&lt;=F23,0,IF(C42&lt;=F35,INT((F41*(C42-F23)/10000+F42)*(C42-F23)/10000),IF(C42&lt;F36,INT((F38*(C42-F35)/10000+F39)*(C42-F35)/10000+F40),IF(C42&lt;F37,INT(C42*F31-F43),INT(C42*F32-F44)))))</f>
        <v>#VALUE!</v>
      </c>
      <c r="E43" s="249"/>
      <c r="F43" s="403">
        <v>9972.98</v>
      </c>
      <c r="G43" s="249"/>
    </row>
    <row r="44" spans="1:13" x14ac:dyDescent="0.2">
      <c r="A44" s="224"/>
      <c r="B44" s="225" t="s">
        <v>75</v>
      </c>
      <c r="C44" s="422" t="e">
        <f>(C41-C43)*2</f>
        <v>#VALUE!</v>
      </c>
      <c r="E44" s="282"/>
      <c r="F44" s="403">
        <v>18307.73</v>
      </c>
      <c r="G44" s="282"/>
    </row>
    <row r="45" spans="1:13" x14ac:dyDescent="0.2">
      <c r="A45" s="224"/>
      <c r="B45" s="225" t="s">
        <v>76</v>
      </c>
      <c r="C45" s="422" t="e">
        <f>ROUNDDOWN(MIN(C38,F21)*0.14,0)</f>
        <v>#VALUE!</v>
      </c>
    </row>
    <row r="46" spans="1:13" x14ac:dyDescent="0.2">
      <c r="A46" s="224"/>
      <c r="B46" s="225" t="s">
        <v>70</v>
      </c>
      <c r="C46" s="422" t="e">
        <f>MAX(C44,C45)</f>
        <v>#VALUE!</v>
      </c>
    </row>
    <row r="47" spans="1:13" x14ac:dyDescent="0.2">
      <c r="A47" s="224"/>
      <c r="B47" s="225" t="s">
        <v>70</v>
      </c>
      <c r="C47" s="422" t="e">
        <f>IF(C38&gt;F22,(F22 - F21)*F31 + C46,ROUNDDOWN(MAX(C38-F21,0)*F31+C46,0))</f>
        <v>#VALUE!</v>
      </c>
    </row>
    <row r="48" spans="1:13" x14ac:dyDescent="0.2">
      <c r="A48" s="224"/>
      <c r="B48" s="225" t="s">
        <v>77</v>
      </c>
      <c r="C48" s="422" t="e">
        <f>IF(AND(C38&gt;F20,C38&lt;=F21),C46,0)</f>
        <v>#VALUE!</v>
      </c>
    </row>
    <row r="49" spans="1:3" x14ac:dyDescent="0.2">
      <c r="A49" s="224"/>
      <c r="B49" s="225" t="s">
        <v>70</v>
      </c>
      <c r="C49" s="422">
        <f>ROUNDDOWN(F20*0.14,0)</f>
        <v>1747</v>
      </c>
    </row>
    <row r="50" spans="1:3" x14ac:dyDescent="0.2">
      <c r="A50" s="224"/>
      <c r="B50" s="225" t="s">
        <v>70</v>
      </c>
      <c r="C50" s="422" t="e">
        <f xml:space="preserve"> MIN(ROUNDDOWN(MAX(C38-F20,0)*F31+C49,0),C47)</f>
        <v>#VALUE!</v>
      </c>
    </row>
    <row r="51" spans="1:3" x14ac:dyDescent="0.2">
      <c r="A51" s="224"/>
      <c r="B51" s="225" t="s">
        <v>78</v>
      </c>
      <c r="C51" s="422" t="e">
        <f>ROUNDDOWN(MAX(C38-F22,0)*F32+C50,0)</f>
        <v>#VALUE!</v>
      </c>
    </row>
    <row r="52" spans="1:3" x14ac:dyDescent="0.2">
      <c r="A52" s="224"/>
      <c r="B52" s="225" t="s">
        <v>79</v>
      </c>
      <c r="C52" s="422" t="e">
        <f>ROUNDDOWN(IF(C6&lt;5,C39,C51)*C12,0)</f>
        <v>#VALUE!</v>
      </c>
    </row>
    <row r="53" spans="1:3" x14ac:dyDescent="0.2">
      <c r="A53" s="224"/>
      <c r="B53" s="225" t="s">
        <v>81</v>
      </c>
      <c r="C53" s="422" t="e">
        <f>C52*100</f>
        <v>#VALUE!</v>
      </c>
    </row>
    <row r="54" spans="1:3" x14ac:dyDescent="0.2">
      <c r="A54" s="256" t="s">
        <v>84</v>
      </c>
      <c r="B54" s="241" t="s">
        <v>85</v>
      </c>
      <c r="C54" s="422" t="e">
        <f>IF(C3=1,C53,IF(C3=2,ROUNDDOWN(C53/12,0),IF(C3=3,ROUNDDOWN((C53*7)/360,0),ROUNDDOWN(C53/360,0))))</f>
        <v>#VALUE!</v>
      </c>
    </row>
    <row r="55" spans="1:3" x14ac:dyDescent="0.2">
      <c r="A55" s="224"/>
      <c r="B55" s="225" t="s">
        <v>59</v>
      </c>
      <c r="C55" s="250">
        <f>C27+C28</f>
        <v>1266</v>
      </c>
    </row>
    <row r="56" spans="1:3" x14ac:dyDescent="0.2">
      <c r="A56" s="224"/>
      <c r="B56" s="225" t="s">
        <v>68</v>
      </c>
      <c r="C56" s="250" t="e">
        <f>C20-C36-C55</f>
        <v>#VALUE!</v>
      </c>
    </row>
    <row r="57" spans="1:3" x14ac:dyDescent="0.2">
      <c r="A57" s="224"/>
      <c r="B57" s="225" t="s">
        <v>86</v>
      </c>
      <c r="C57" s="250" t="e">
        <f>IF(C56&lt;36,0,ROUNDDOWN(C56/C23,0))</f>
        <v>#VALUE!</v>
      </c>
    </row>
    <row r="58" spans="1:3" x14ac:dyDescent="0.2">
      <c r="A58" s="224"/>
      <c r="B58" s="225" t="s">
        <v>70</v>
      </c>
      <c r="C58" s="250" t="e">
        <f>IF(C57&lt;=F23,0,IF(C57&lt;=F35,INT((F41*(C57-F23)/10000+F42)*(C57-F23)/10000),IF(C57&lt;=F36,INT((F38*(C57-F35)/10000+F39)*(C57-F35)/10000+F40),IF(C57&lt;F37,INT(C57*F31-F43),INT(C57*F32-F44)))))*C23</f>
        <v>#VALUE!</v>
      </c>
    </row>
    <row r="59" spans="1:3" x14ac:dyDescent="0.2">
      <c r="A59" s="224"/>
      <c r="B59" s="225" t="s">
        <v>87</v>
      </c>
      <c r="C59" s="250" t="e">
        <f>IF(C2&gt;0,ROUNDDOWN(C58*C12,0),C52)</f>
        <v>#VALUE!</v>
      </c>
    </row>
    <row r="60" spans="1:3" x14ac:dyDescent="0.2">
      <c r="A60" s="256" t="s">
        <v>89</v>
      </c>
      <c r="B60" s="241" t="s">
        <v>90</v>
      </c>
      <c r="C60" s="242">
        <f>(F24)*C23</f>
        <v>17543</v>
      </c>
    </row>
    <row r="61" spans="1:3" x14ac:dyDescent="0.2">
      <c r="A61" s="224"/>
      <c r="B61" s="225" t="s">
        <v>91</v>
      </c>
      <c r="C61" s="239" t="e">
        <f>ROUNDDOWN((C59*F33)/100,2)</f>
        <v>#VALUE!</v>
      </c>
    </row>
    <row r="62" spans="1:3" x14ac:dyDescent="0.2">
      <c r="A62" s="224"/>
      <c r="B62" s="225" t="s">
        <v>92</v>
      </c>
      <c r="C62" s="239" t="e">
        <f>((C59-C60)*F34)/100</f>
        <v>#VALUE!</v>
      </c>
    </row>
    <row r="63" spans="1:3" x14ac:dyDescent="0.2">
      <c r="A63" s="224"/>
      <c r="B63" s="225" t="s">
        <v>91</v>
      </c>
      <c r="C63" s="239" t="e">
        <f>MIN(C62,C61)</f>
        <v>#VALUE!</v>
      </c>
    </row>
    <row r="64" spans="1:3" x14ac:dyDescent="0.2">
      <c r="A64" s="224"/>
      <c r="B64" s="225" t="s">
        <v>81</v>
      </c>
      <c r="C64" s="226" t="e">
        <f>C63*100</f>
        <v>#VALUE!</v>
      </c>
    </row>
    <row r="65" spans="1:3" x14ac:dyDescent="0.2">
      <c r="A65" s="256" t="s">
        <v>93</v>
      </c>
      <c r="B65" s="241" t="s">
        <v>94</v>
      </c>
      <c r="C65" s="266" t="e">
        <f>ROUNDDOWN(IF(C3=1,C64,IF(C3=2,C64/12,IF(C3=3,(C64*7)/360,C64/360))),0)</f>
        <v>#VALUE!</v>
      </c>
    </row>
    <row r="66" spans="1:3" x14ac:dyDescent="0.2">
      <c r="A66" s="224"/>
      <c r="B66" s="225" t="s">
        <v>95</v>
      </c>
      <c r="C66" s="250" t="e">
        <f>IF(C59&gt;C60,C65,0)</f>
        <v>#VALUE!</v>
      </c>
    </row>
    <row r="67" spans="1:3" x14ac:dyDescent="0.2">
      <c r="A67" s="224"/>
      <c r="B67" s="225" t="s">
        <v>81</v>
      </c>
      <c r="C67" s="250" t="e">
        <f>C59*100</f>
        <v>#VALUE!</v>
      </c>
    </row>
    <row r="68" spans="1:3" x14ac:dyDescent="0.2">
      <c r="A68" s="283" t="s">
        <v>96</v>
      </c>
      <c r="B68" s="284" t="s">
        <v>96</v>
      </c>
      <c r="C68" s="285" t="e">
        <f>ROUNDDOWN(IF(C3=1,C67,IF(C3=2,C67/12,IF(C3=3,(C67*7)/360,C67/360))),0)</f>
        <v>#VALUE!</v>
      </c>
    </row>
    <row r="69" spans="1:3" x14ac:dyDescent="0.2">
      <c r="A69" s="283" t="s">
        <v>138</v>
      </c>
      <c r="B69" s="284" t="s">
        <v>137</v>
      </c>
      <c r="C69" s="286">
        <f>IF(C3=1,12,IF(C3=2,1,IF(C3=3,84/360,12/360)))</f>
        <v>12</v>
      </c>
    </row>
  </sheetData>
  <mergeCells count="8">
    <mergeCell ref="O6:P6"/>
    <mergeCell ref="O7:P7"/>
    <mergeCell ref="I1:M1"/>
    <mergeCell ref="O1:P1"/>
    <mergeCell ref="O2:P2"/>
    <mergeCell ref="O3:P3"/>
    <mergeCell ref="O4:P4"/>
    <mergeCell ref="O5:P5"/>
  </mergeCells>
  <pageMargins left="0.78740157499999996" right="0.78740157499999996" top="0.984251969" bottom="0.984251969" header="0.5" footer="0.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EF07-8D5B-4E6E-8D83-0DC43B6DC533}">
  <sheetPr codeName="Tabelle15">
    <tabColor rgb="FFFF0000"/>
    <pageSetUpPr autoPageBreaks="0" fitToPage="1"/>
  </sheetPr>
  <dimension ref="B2:V45"/>
  <sheetViews>
    <sheetView showGridLines="0" topLeftCell="A11" zoomScaleNormal="100" workbookViewId="0">
      <selection activeCell="H34" sqref="H34"/>
    </sheetView>
  </sheetViews>
  <sheetFormatPr baseColWidth="10" defaultRowHeight="12.75" x14ac:dyDescent="0.2"/>
  <cols>
    <col min="2" max="2" width="2.42578125" customWidth="1"/>
    <col min="3" max="3" width="11.42578125" hidden="1" customWidth="1"/>
    <col min="4" max="4" width="16.28515625" customWidth="1"/>
    <col min="5" max="5" width="16.42578125" customWidth="1"/>
    <col min="6" max="6" width="19.28515625" customWidth="1"/>
    <col min="7" max="7" width="4.140625" customWidth="1"/>
    <col min="8" max="8" width="12.28515625" bestFit="1" customWidth="1"/>
    <col min="9" max="9" width="12.42578125" customWidth="1"/>
    <col min="10" max="10" width="2" customWidth="1"/>
    <col min="11" max="11" width="12.42578125" hidden="1" customWidth="1"/>
    <col min="12" max="12" width="12.85546875" hidden="1" customWidth="1"/>
    <col min="13" max="13" width="3.7109375" hidden="1" customWidth="1"/>
    <col min="14" max="14" width="2.7109375" customWidth="1"/>
    <col min="15" max="15" width="13.7109375" customWidth="1"/>
    <col min="16" max="16" width="11.42578125" customWidth="1"/>
    <col min="17" max="17" width="1.28515625" customWidth="1"/>
    <col min="18" max="18" width="11.5703125" customWidth="1"/>
    <col min="19" max="19" width="2.42578125" customWidth="1"/>
    <col min="20" max="20" width="11.5703125" customWidth="1"/>
    <col min="21" max="21" width="2" customWidth="1"/>
    <col min="22" max="22" width="11.5703125" customWidth="1"/>
  </cols>
  <sheetData>
    <row r="2" spans="2:20" x14ac:dyDescent="0.2">
      <c r="P2" s="137">
        <f>+Eingaben!X34</f>
        <v>0</v>
      </c>
    </row>
    <row r="3" spans="2:20" ht="13.5" thickBot="1" x14ac:dyDescent="0.25">
      <c r="N3" s="49" t="s">
        <v>15</v>
      </c>
    </row>
    <row r="4" spans="2:20" s="72" customFormat="1" ht="23.25" customHeight="1" thickBot="1" x14ac:dyDescent="0.25">
      <c r="B4" s="450" t="s">
        <v>214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</row>
    <row r="5" spans="2:20" s="72" customFormat="1" ht="12.75" customHeight="1" x14ac:dyDescent="0.2"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2:20" ht="16.5" thickBot="1" x14ac:dyDescent="0.25">
      <c r="B6" s="176"/>
      <c r="C6" s="131"/>
      <c r="D6" s="465" t="str">
        <f>+IF(P2=0,"Es fehlen noch Angaben im Arbeitblatt Eingaben","Alle erforderlichen Eingaben wurden gemacht")</f>
        <v>Es fehlen noch Angaben im Arbeitblatt Eingaben</v>
      </c>
      <c r="E6" s="466"/>
      <c r="F6" s="466"/>
      <c r="G6" s="466"/>
      <c r="H6" s="466"/>
      <c r="I6" s="467"/>
      <c r="J6" s="177"/>
      <c r="K6" s="131"/>
      <c r="L6" s="131"/>
      <c r="M6" s="131"/>
      <c r="N6" s="178"/>
      <c r="T6" s="72"/>
    </row>
    <row r="7" spans="2:20" ht="12.75" customHeight="1" thickBot="1" x14ac:dyDescent="0.25">
      <c r="B7" s="176"/>
      <c r="C7" s="131"/>
      <c r="D7" s="177"/>
      <c r="E7" s="177"/>
      <c r="F7" s="177"/>
      <c r="G7" s="177"/>
      <c r="H7" s="177"/>
      <c r="I7" s="177"/>
      <c r="J7" s="177"/>
      <c r="K7" s="131"/>
      <c r="L7" s="179"/>
      <c r="M7" s="131"/>
      <c r="N7" s="178"/>
      <c r="T7" s="72"/>
    </row>
    <row r="8" spans="2:20" x14ac:dyDescent="0.2">
      <c r="B8" s="176"/>
      <c r="C8" s="131"/>
      <c r="D8" s="180" t="s">
        <v>97</v>
      </c>
      <c r="E8" s="181"/>
      <c r="F8" s="181"/>
      <c r="G8" s="181"/>
      <c r="H8" s="206" t="str">
        <f>IF($P$2=0,"",IF(Eingaben!H5="","",Eingaben!H5))</f>
        <v/>
      </c>
      <c r="I8" s="181"/>
      <c r="J8" s="181"/>
      <c r="K8" s="180"/>
      <c r="L8" s="182" t="str">
        <f>+H8</f>
        <v/>
      </c>
      <c r="M8" s="131"/>
      <c r="N8" s="178"/>
      <c r="R8" s="133" t="str">
        <f>+L8</f>
        <v/>
      </c>
      <c r="T8" s="72"/>
    </row>
    <row r="9" spans="2:20" x14ac:dyDescent="0.2">
      <c r="B9" s="176"/>
      <c r="C9" s="131"/>
      <c r="D9" s="131" t="s">
        <v>117</v>
      </c>
      <c r="E9" s="131"/>
      <c r="F9" s="131"/>
      <c r="G9" s="131"/>
      <c r="H9" s="207" t="str">
        <f>IF($P$2=0,"",IF(Eingaben!H6="","",Eingaben!H6))</f>
        <v/>
      </c>
      <c r="I9" s="131"/>
      <c r="J9" s="131"/>
      <c r="K9" s="180"/>
      <c r="L9" s="183">
        <f t="shared" ref="L9:L24" si="0">+P9</f>
        <v>1</v>
      </c>
      <c r="M9" s="131"/>
      <c r="N9" s="178"/>
      <c r="P9" s="126">
        <f>+IF(H9="Jahr",1,IF(H9="Monat",2,IF(H9="Woche",3,IF(H9="Tag",4,1))))</f>
        <v>1</v>
      </c>
      <c r="R9" s="134">
        <f>+P9</f>
        <v>1</v>
      </c>
      <c r="T9" s="72"/>
    </row>
    <row r="10" spans="2:20" hidden="1" x14ac:dyDescent="0.2">
      <c r="B10" s="176"/>
      <c r="C10" s="131"/>
      <c r="D10" s="131"/>
      <c r="E10" s="131"/>
      <c r="F10" s="131"/>
      <c r="G10" s="131"/>
      <c r="H10" s="207"/>
      <c r="I10" s="131"/>
      <c r="J10" s="131"/>
      <c r="K10" s="180"/>
      <c r="L10" s="184"/>
      <c r="M10" s="131"/>
      <c r="N10" s="178"/>
      <c r="P10" s="132"/>
      <c r="R10" s="134"/>
      <c r="T10" s="72"/>
    </row>
    <row r="11" spans="2:20" x14ac:dyDescent="0.2">
      <c r="B11" s="176"/>
      <c r="C11" s="131"/>
      <c r="D11" s="131" t="s">
        <v>115</v>
      </c>
      <c r="E11" s="131"/>
      <c r="F11" s="131"/>
      <c r="G11" s="131"/>
      <c r="H11" s="207" t="str">
        <f>IF($P$2=0,"",IF(Eingaben!H7="","",Eingaben!H7))</f>
        <v/>
      </c>
      <c r="I11" s="131"/>
      <c r="J11" s="131"/>
      <c r="K11" s="180"/>
      <c r="L11" s="183">
        <f t="shared" si="0"/>
        <v>1</v>
      </c>
      <c r="M11" s="131"/>
      <c r="N11" s="178"/>
      <c r="P11" s="126">
        <f>+IF(ISNUMBER(H11),H11,1)</f>
        <v>1</v>
      </c>
      <c r="R11" s="134">
        <f>+P11</f>
        <v>1</v>
      </c>
      <c r="T11" s="72"/>
    </row>
    <row r="12" spans="2:20" x14ac:dyDescent="0.2">
      <c r="B12" s="176"/>
      <c r="C12" s="131"/>
      <c r="D12" s="180" t="s">
        <v>112</v>
      </c>
      <c r="E12" s="131"/>
      <c r="F12" s="131"/>
      <c r="G12" s="185"/>
      <c r="H12" s="186" t="str">
        <f>IF($P$2=0,"",IF(H11&lt;&gt;4,"",IF(Eingaben!H8="",0,Eingaben!H8)))</f>
        <v/>
      </c>
      <c r="I12" s="185"/>
      <c r="J12" s="185"/>
      <c r="K12" s="180"/>
      <c r="L12" s="187">
        <f t="shared" si="0"/>
        <v>0</v>
      </c>
      <c r="M12" s="131"/>
      <c r="N12" s="178"/>
      <c r="P12" s="126">
        <f>+IF(ISNUMBER(H12),H12,0)</f>
        <v>0</v>
      </c>
      <c r="R12" s="134">
        <f>+P12</f>
        <v>0</v>
      </c>
      <c r="T12" s="72"/>
    </row>
    <row r="13" spans="2:20" x14ac:dyDescent="0.2">
      <c r="B13" s="176"/>
      <c r="C13" s="131"/>
      <c r="D13" s="131" t="s">
        <v>114</v>
      </c>
      <c r="E13" s="131"/>
      <c r="F13" s="131"/>
      <c r="G13" s="131"/>
      <c r="H13" s="459" t="str">
        <f>IF($P$2=0,"",IF(Eingaben!H9="","",Eingaben!H9))</f>
        <v/>
      </c>
      <c r="I13" s="459" t="str">
        <f>+IF(Eingaben!I9="","",Eingaben!I9)</f>
        <v/>
      </c>
      <c r="J13" s="131"/>
      <c r="K13" s="180"/>
      <c r="L13" s="183">
        <f t="shared" si="0"/>
        <v>0</v>
      </c>
      <c r="M13" s="131"/>
      <c r="N13" s="178"/>
      <c r="P13" s="126">
        <f>+IF(H13="Allgemeine LSt-Tabelle",0,IF(H13="Besondere LSt-Tabelle",1,0))</f>
        <v>0</v>
      </c>
      <c r="R13" s="134">
        <f>+P13</f>
        <v>0</v>
      </c>
      <c r="T13" s="72"/>
    </row>
    <row r="14" spans="2:20" x14ac:dyDescent="0.2">
      <c r="B14" s="176"/>
      <c r="C14" s="131"/>
      <c r="D14" s="131" t="s">
        <v>113</v>
      </c>
      <c r="E14" s="131"/>
      <c r="F14" s="131"/>
      <c r="G14" s="131"/>
      <c r="H14" s="207" t="str">
        <f>IF($P$2=0,"",IF(Eingaben!H10="","",Eingaben!H10))</f>
        <v/>
      </c>
      <c r="I14" s="131"/>
      <c r="J14" s="131"/>
      <c r="K14" s="180"/>
      <c r="L14" s="183">
        <f t="shared" si="0"/>
        <v>0</v>
      </c>
      <c r="M14" s="131"/>
      <c r="N14" s="178"/>
      <c r="P14" s="126">
        <f>+IF(ISNUMBER(H14),H14,0)</f>
        <v>0</v>
      </c>
      <c r="R14" s="134">
        <f>+P14</f>
        <v>0</v>
      </c>
      <c r="T14" s="72"/>
    </row>
    <row r="15" spans="2:20" x14ac:dyDescent="0.2">
      <c r="B15" s="176"/>
      <c r="C15" s="131"/>
      <c r="D15" s="131" t="s">
        <v>26</v>
      </c>
      <c r="E15" s="131"/>
      <c r="F15" s="131"/>
      <c r="G15" s="131"/>
      <c r="H15" s="208" t="str">
        <f>IF($P$2=0,"",IF(Eingaben!H11="","",Eingaben!H11))</f>
        <v/>
      </c>
      <c r="I15" s="131"/>
      <c r="J15" s="131"/>
      <c r="K15" s="180"/>
      <c r="L15" s="183">
        <f t="shared" si="0"/>
        <v>0</v>
      </c>
      <c r="M15" s="131"/>
      <c r="N15" s="178"/>
      <c r="P15" s="126">
        <f>+IF(ISNUMBER(H15),H15,0)</f>
        <v>0</v>
      </c>
      <c r="R15" s="134">
        <f>+P15*100</f>
        <v>0</v>
      </c>
      <c r="T15" s="72"/>
    </row>
    <row r="16" spans="2:20" x14ac:dyDescent="0.2">
      <c r="B16" s="176"/>
      <c r="C16" s="131"/>
      <c r="D16" s="131" t="s">
        <v>118</v>
      </c>
      <c r="E16" s="131"/>
      <c r="F16" s="131"/>
      <c r="G16" s="131"/>
      <c r="H16" s="207" t="str">
        <f>IF($P$2=0,"",IF(Eingaben!H12="","",Eingaben!H12))</f>
        <v/>
      </c>
      <c r="I16" s="131"/>
      <c r="J16" s="131"/>
      <c r="K16" s="180"/>
      <c r="L16" s="188">
        <f t="shared" si="0"/>
        <v>15.5</v>
      </c>
      <c r="M16" s="131"/>
      <c r="N16" s="178"/>
      <c r="P16" s="126">
        <f>+IF(ISNUMBER(H16),H16,15.5)</f>
        <v>15.5</v>
      </c>
      <c r="R16" s="135">
        <f>P16</f>
        <v>15.5</v>
      </c>
      <c r="T16" s="72"/>
    </row>
    <row r="17" spans="2:22" x14ac:dyDescent="0.2">
      <c r="B17" s="176"/>
      <c r="C17" s="131"/>
      <c r="D17" s="131" t="s">
        <v>131</v>
      </c>
      <c r="E17" s="131"/>
      <c r="F17" s="131"/>
      <c r="G17" s="131"/>
      <c r="H17" s="207" t="str">
        <f>IF($P$2=0,"",IF(Eingaben!H13="","",IF(H16&gt;20,0,Eingaben!H13)))</f>
        <v/>
      </c>
      <c r="I17" s="131"/>
      <c r="J17" s="131"/>
      <c r="K17" s="180"/>
      <c r="L17" s="188" t="str">
        <f>+P17</f>
        <v/>
      </c>
      <c r="M17" s="131"/>
      <c r="N17" s="178"/>
      <c r="P17" s="126" t="str">
        <f>+H17</f>
        <v/>
      </c>
      <c r="R17" s="135" t="str">
        <f>+P17</f>
        <v/>
      </c>
      <c r="T17" s="72"/>
    </row>
    <row r="18" spans="2:22" x14ac:dyDescent="0.2">
      <c r="B18" s="176"/>
      <c r="C18" s="131"/>
      <c r="D18" s="131" t="s">
        <v>180</v>
      </c>
      <c r="E18" s="131"/>
      <c r="F18" s="131"/>
      <c r="G18" s="131"/>
      <c r="H18" s="207" t="str">
        <f>IF($P$2=0,"",IF(Eingaben!H14="","",Eingaben!H14))</f>
        <v/>
      </c>
      <c r="I18" s="131"/>
      <c r="J18" s="131"/>
      <c r="K18" s="180"/>
      <c r="L18" s="188"/>
      <c r="M18" s="131"/>
      <c r="N18" s="178"/>
      <c r="P18" s="126">
        <f>+IF(H18="Ja",1,0)</f>
        <v>0</v>
      </c>
      <c r="R18" s="135"/>
      <c r="T18" s="72"/>
    </row>
    <row r="19" spans="2:22" x14ac:dyDescent="0.2">
      <c r="B19" s="176"/>
      <c r="C19" s="131"/>
      <c r="D19" s="131" t="s">
        <v>99</v>
      </c>
      <c r="E19" s="131"/>
      <c r="F19" s="131"/>
      <c r="G19" s="131"/>
      <c r="H19" s="207" t="str">
        <f>IF($P$2=0,"",IF(Eingaben!H15="","",Eingaben!H15))</f>
        <v/>
      </c>
      <c r="I19" s="131"/>
      <c r="J19" s="131"/>
      <c r="K19" s="180"/>
      <c r="L19" s="183">
        <f t="shared" si="0"/>
        <v>0</v>
      </c>
      <c r="M19" s="131"/>
      <c r="N19" s="178"/>
      <c r="P19" s="126">
        <f>+IF(H19="Ja",1,0)</f>
        <v>0</v>
      </c>
      <c r="R19" s="134">
        <f t="shared" ref="R19:R24" si="1">+P19</f>
        <v>0</v>
      </c>
      <c r="T19" s="72"/>
    </row>
    <row r="20" spans="2:22" x14ac:dyDescent="0.2">
      <c r="B20" s="176"/>
      <c r="C20" s="131"/>
      <c r="D20" s="131" t="s">
        <v>123</v>
      </c>
      <c r="E20" s="131"/>
      <c r="F20" s="131"/>
      <c r="G20" s="131"/>
      <c r="H20" s="207" t="str">
        <f>IF($P$2=0,"",IF(Eingaben!H16="","",Eingaben!H16))</f>
        <v/>
      </c>
      <c r="I20" s="131"/>
      <c r="J20" s="131"/>
      <c r="K20" s="180"/>
      <c r="L20" s="183">
        <f t="shared" si="0"/>
        <v>0</v>
      </c>
      <c r="M20" s="131"/>
      <c r="N20" s="178"/>
      <c r="P20" s="126">
        <f>+IF(H20="Ja",1,0)</f>
        <v>0</v>
      </c>
      <c r="R20" s="134">
        <f t="shared" si="1"/>
        <v>0</v>
      </c>
      <c r="T20" s="72"/>
    </row>
    <row r="21" spans="2:22" x14ac:dyDescent="0.2">
      <c r="B21" s="176"/>
      <c r="C21" s="131"/>
      <c r="D21" s="189" t="str">
        <f>+IF(P20=1,"  Arbeitsort in Sachsen?","  Arbeitsort liegt nicht in Sachsen")</f>
        <v xml:space="preserve">  Arbeitsort liegt nicht in Sachsen</v>
      </c>
      <c r="E21" s="131"/>
      <c r="F21" s="131"/>
      <c r="G21" s="131"/>
      <c r="H21" s="209" t="str">
        <f>IF($P$2=0,"",IF(Eingaben!H17="","",Eingaben!H17))</f>
        <v/>
      </c>
      <c r="I21" s="131"/>
      <c r="J21" s="131"/>
      <c r="K21" s="180"/>
      <c r="L21" s="183">
        <f t="shared" si="0"/>
        <v>0</v>
      </c>
      <c r="M21" s="131"/>
      <c r="N21" s="178"/>
      <c r="P21" s="126">
        <f>+IF(P20=0,0,IF(H21="Ja",1,0))</f>
        <v>0</v>
      </c>
      <c r="R21" s="134">
        <f t="shared" si="1"/>
        <v>0</v>
      </c>
      <c r="T21" s="72"/>
    </row>
    <row r="22" spans="2:22" ht="12.75" customHeight="1" x14ac:dyDescent="0.2">
      <c r="B22" s="176"/>
      <c r="C22" s="131"/>
      <c r="D22" s="464" t="s">
        <v>22</v>
      </c>
      <c r="E22" s="464"/>
      <c r="F22" s="464"/>
      <c r="G22" s="190"/>
      <c r="H22" s="460" t="str">
        <f>IF($P$2=0,"",IF(Eingaben!H18="","",Eingaben!H18))</f>
        <v/>
      </c>
      <c r="I22" s="460" t="str">
        <f>+IF(Eingaben!I18="","",Eingaben!I18)</f>
        <v/>
      </c>
      <c r="J22" s="190"/>
      <c r="K22" s="180"/>
      <c r="L22" s="183">
        <f t="shared" si="0"/>
        <v>0</v>
      </c>
      <c r="M22" s="131"/>
      <c r="N22" s="178"/>
      <c r="P22" s="126">
        <f>IF(ISERROR(VLOOKUP(H22,Eingaben!R6:S25,2,FALSE)),0,VLOOKUP(H22,Eingaben!R6:S25,2,FALSE))</f>
        <v>0</v>
      </c>
      <c r="R22" s="134">
        <f t="shared" si="1"/>
        <v>0</v>
      </c>
      <c r="T22" s="72"/>
    </row>
    <row r="23" spans="2:22" x14ac:dyDescent="0.2">
      <c r="B23" s="176"/>
      <c r="C23" s="131"/>
      <c r="D23" s="180" t="s">
        <v>23</v>
      </c>
      <c r="E23" s="180"/>
      <c r="F23" s="180"/>
      <c r="G23" s="180"/>
      <c r="H23" s="210" t="str">
        <f>IF($P$2=0,"",IF(Eingaben!H19="","",Eingaben!H19))</f>
        <v/>
      </c>
      <c r="I23" s="180"/>
      <c r="J23" s="180"/>
      <c r="K23" s="180"/>
      <c r="L23" s="191">
        <f t="shared" si="0"/>
        <v>0</v>
      </c>
      <c r="M23" s="131"/>
      <c r="N23" s="178"/>
      <c r="P23" s="126">
        <f>+IF(ISNUMBER(H23),H23,0)</f>
        <v>0</v>
      </c>
      <c r="R23" s="134">
        <f t="shared" si="1"/>
        <v>0</v>
      </c>
      <c r="T23" s="72"/>
    </row>
    <row r="24" spans="2:22" ht="13.5" thickBot="1" x14ac:dyDescent="0.25">
      <c r="B24" s="176"/>
      <c r="C24" s="131"/>
      <c r="D24" s="180" t="s">
        <v>119</v>
      </c>
      <c r="E24" s="180"/>
      <c r="F24" s="180"/>
      <c r="G24" s="180"/>
      <c r="H24" s="210" t="str">
        <f>IF($P$2=0,"",IF(Eingaben!H20="","",Eingaben!H20))</f>
        <v/>
      </c>
      <c r="I24" s="180"/>
      <c r="J24" s="180"/>
      <c r="K24" s="180"/>
      <c r="L24" s="192">
        <f t="shared" si="0"/>
        <v>0</v>
      </c>
      <c r="M24" s="131"/>
      <c r="N24" s="178"/>
      <c r="P24" s="126">
        <f>+IF(ISNUMBER(H24),H24,0)</f>
        <v>0</v>
      </c>
      <c r="R24" s="134">
        <f t="shared" si="1"/>
        <v>0</v>
      </c>
      <c r="T24" s="72"/>
    </row>
    <row r="25" spans="2:22" ht="13.5" thickBot="1" x14ac:dyDescent="0.25">
      <c r="B25" s="176"/>
      <c r="C25" s="131"/>
      <c r="D25" s="180" t="str">
        <f>IF(AND(AND(L12&gt;0,L12&lt;1),L11=4),"Ehegattenfaktor von " &amp; L12 &amp; " berücksichtigt","")</f>
        <v/>
      </c>
      <c r="E25" s="180"/>
      <c r="F25" s="180"/>
      <c r="G25" s="193"/>
      <c r="H25" s="193"/>
      <c r="I25" s="193"/>
      <c r="J25" s="193"/>
      <c r="K25" s="193"/>
      <c r="L25" s="131"/>
      <c r="M25" s="131"/>
      <c r="N25" s="178"/>
      <c r="P25" s="54"/>
      <c r="T25" s="72"/>
    </row>
    <row r="26" spans="2:22" ht="13.5" thickBot="1" x14ac:dyDescent="0.25">
      <c r="B26" s="176"/>
      <c r="C26" s="131"/>
      <c r="D26" s="461" t="s">
        <v>111</v>
      </c>
      <c r="E26" s="462"/>
      <c r="F26" s="463"/>
      <c r="G26" s="193"/>
      <c r="H26" s="193"/>
      <c r="I26" s="193"/>
      <c r="J26" s="193"/>
      <c r="K26" s="193"/>
      <c r="L26" s="131"/>
      <c r="M26" s="131"/>
      <c r="N26" s="178"/>
      <c r="P26" s="54"/>
      <c r="T26" s="72"/>
    </row>
    <row r="27" spans="2:22" ht="6" customHeight="1" x14ac:dyDescent="0.2">
      <c r="B27" s="176"/>
      <c r="C27" s="131"/>
      <c r="D27" s="180"/>
      <c r="E27" s="180"/>
      <c r="F27" s="180"/>
      <c r="G27" s="193"/>
      <c r="H27" s="193"/>
      <c r="I27" s="193"/>
      <c r="J27" s="193"/>
      <c r="K27" s="193"/>
      <c r="L27" s="131"/>
      <c r="M27" s="131"/>
      <c r="N27" s="178"/>
      <c r="P27" s="54"/>
      <c r="T27" s="72"/>
    </row>
    <row r="28" spans="2:22" x14ac:dyDescent="0.2">
      <c r="B28" s="176"/>
      <c r="C28" s="131"/>
      <c r="D28" s="180" t="s">
        <v>24</v>
      </c>
      <c r="E28" s="180"/>
      <c r="F28" s="180"/>
      <c r="G28" s="194"/>
      <c r="H28" s="195" t="str">
        <f>IF($P$2=0,"",LSTBerechnung2023!C54/100)</f>
        <v/>
      </c>
      <c r="I28" s="194"/>
      <c r="J28" s="194"/>
      <c r="K28" s="194"/>
      <c r="L28" s="131"/>
      <c r="M28" s="131"/>
      <c r="N28" s="178"/>
      <c r="O28" s="125"/>
      <c r="P28" s="54"/>
      <c r="T28" s="72"/>
    </row>
    <row r="29" spans="2:22" x14ac:dyDescent="0.2">
      <c r="B29" s="176"/>
      <c r="C29" s="131"/>
      <c r="D29" s="180" t="s">
        <v>25</v>
      </c>
      <c r="E29" s="180"/>
      <c r="F29" s="180"/>
      <c r="G29" s="194"/>
      <c r="H29" s="195" t="str">
        <f>IF($P$2=0,"",LSTBerechnung2023!C66/100)</f>
        <v/>
      </c>
      <c r="I29" s="194"/>
      <c r="J29" s="194"/>
      <c r="K29" s="194"/>
      <c r="L29" s="131"/>
      <c r="M29" s="131"/>
      <c r="N29" s="178"/>
      <c r="O29" s="125"/>
      <c r="V29" s="172"/>
    </row>
    <row r="30" spans="2:22" x14ac:dyDescent="0.2">
      <c r="B30" s="176"/>
      <c r="C30" s="131"/>
      <c r="D30" s="180" t="s">
        <v>26</v>
      </c>
      <c r="E30" s="180"/>
      <c r="F30" s="180"/>
      <c r="G30" s="194"/>
      <c r="H30" s="196" t="str">
        <f>IF($P$2=0,"",ROUNDDOWN(LSTBerechnung2023!C68*Berechnung_Alt!R15/10000,2))</f>
        <v/>
      </c>
      <c r="I30" s="194"/>
      <c r="J30" s="194"/>
      <c r="K30" s="194"/>
      <c r="L30" s="131"/>
      <c r="M30" s="131"/>
      <c r="N30" s="178"/>
      <c r="O30" s="125"/>
    </row>
    <row r="31" spans="2:22" ht="6" customHeight="1" x14ac:dyDescent="0.2">
      <c r="B31" s="176"/>
      <c r="C31" s="131"/>
      <c r="D31" s="194"/>
      <c r="E31" s="194"/>
      <c r="F31" s="194"/>
      <c r="G31" s="194"/>
      <c r="H31" s="194"/>
      <c r="I31" s="194"/>
      <c r="J31" s="194"/>
      <c r="K31" s="194"/>
      <c r="L31" s="131"/>
      <c r="M31" s="131"/>
      <c r="N31" s="178"/>
      <c r="O31" s="125"/>
    </row>
    <row r="32" spans="2:22" x14ac:dyDescent="0.2">
      <c r="B32" s="176"/>
      <c r="C32" s="131"/>
      <c r="D32" s="180" t="s">
        <v>218</v>
      </c>
      <c r="E32" s="180"/>
      <c r="F32" s="180"/>
      <c r="G32" s="180"/>
      <c r="H32" s="196" t="str">
        <f>IF($P$2=0,"",IF(P13=0,ROUND(IF(P9=1,
IF(H8&gt;LSTBerechnung2023!C9,LSTBerechnung2023!C9,H8),IF(P9=2,
IF(H8&gt;(LSTBerechnung2023!C9/12),(LSTBerechnung2023!C9/12),H8),
IF(P9=3,
IF(H8&gt;(LSTBerechnung2023!C9/360*7),(LSTBerechnung2023!C9/360*7),H8),
IF(H8&gt;(LSTBerechnung2023!C9/360),(LSTBerechnung2023!C9/360),H8))))*0.093,2),0))</f>
        <v/>
      </c>
      <c r="I32" s="197"/>
      <c r="J32" s="180"/>
      <c r="K32" s="180"/>
      <c r="L32" s="131"/>
      <c r="M32" s="131"/>
      <c r="N32" s="178"/>
      <c r="O32" s="125"/>
    </row>
    <row r="33" spans="2:16" x14ac:dyDescent="0.2">
      <c r="B33" s="176"/>
      <c r="C33" s="131"/>
      <c r="D33" s="180" t="s">
        <v>219</v>
      </c>
      <c r="E33" s="180"/>
      <c r="F33" s="180"/>
      <c r="G33" s="180"/>
      <c r="H33" s="196" t="str">
        <f>IF(ISERROR(IF(H16&gt;20,IF(P18=0,H16*LSTBerechnung2023!$C$69,MAX(H16/2*LSTBerechnung2023!$C$69,(H16-(LSTBerechnung2023!G11*LSTBerechnung2023!F17/12))*LSTBerechnung2023!$C$69)),IF(H16=0,0,ROUND(IF(P9=1,IF(H8&gt;LSTBerechnung2023!F17,LSTBerechnung2023!F17,H8),IF(P9=2,IF(H8&gt;(LSTBerechnung2023!F17/12),(LSTBerechnung2023!F17/12),H8),IF(P9=3,IF(H8&gt;(LSTBerechnung2023!F17/360*7),(LSTBerechnung2023!F17/360*7),H8),IF(H8&gt;(LSTBerechnung2023!F17/360),(LSTBerechnung2023!F17/360),H8))))*((H16+H17)/2*0.01),2)))),"",IF(H16&gt;20,IF(P18=0,H16*LSTBerechnung2023!$C$69,MAX(H16/2*LSTBerechnung2023!$C$69,(H16-(LSTBerechnung2023!G11*LSTBerechnung2023!F17/12))*LSTBerechnung2023!$C$69)),IF(H16=0,0,ROUND(IF(P9=1,IF(H8&gt;LSTBerechnung2023!F17,LSTBerechnung2023!F17,H8),IF(P9=2,IF(H8&gt;(LSTBerechnung2023!F17/12),(LSTBerechnung2023!F17/12),H8),IF(P9=3,IF(H8&gt;(LSTBerechnung2023!F17/360*7),(LSTBerechnung2023!F17/360*7),H8),IF(H8&gt;(LSTBerechnung2023!F17/360),(LSTBerechnung2023!F17/360),H8))))*((H16+H17)/2*0.01),2))))</f>
        <v/>
      </c>
      <c r="I33" s="197"/>
      <c r="J33" s="180"/>
      <c r="K33" s="180"/>
      <c r="L33" s="131"/>
      <c r="M33" s="131"/>
      <c r="N33" s="178"/>
      <c r="O33" s="125"/>
      <c r="P33" t="str">
        <f>IF(ISERROR(IF(P16=0,"Privat Krankenversichert ohne Nachweis",IF(P16&gt;20,"Basisprämie KV, AG-Anteil abgezogen",(P16+P17)/2 &amp; " % Krankenversicherungsbeitrag"))),"14,6 % Krankenversicherung",IF(P16=0,"Privat Krankenversichert ohne Nachweis",IF(P16&gt;20,"Basisprämie KV, AG-Anteil abgezogen",(P16+P17)/2 &amp; " % Krankenversicherungsbeitrag")))</f>
        <v>14,6 % Krankenversicherung</v>
      </c>
    </row>
    <row r="34" spans="2:16" x14ac:dyDescent="0.2">
      <c r="B34" s="176"/>
      <c r="C34" s="131"/>
      <c r="D34" s="180" t="s">
        <v>220</v>
      </c>
      <c r="E34" s="180"/>
      <c r="F34" s="180"/>
      <c r="G34" s="180"/>
      <c r="H34" s="196" t="str">
        <f>IF($P$2=0,"",IF(P16&gt;20,0,IF(P16=0,0,ROUND(IF(P9=1,IF(H8&gt;LSTBerechnung2023!F17,LSTBerechnung2023!F17,H8),IF(P9=2,IF(H8&gt;(LSTBerechnung2023!F17/12),(LSTBerechnung2023!F17/12),H8),IF(P9=3,IF(H8&gt;(LSTBerechnung2023!F17/360*7),(LSTBerechnung2023!F17/360*7),H8),IF(H8&gt;(LSTBerechnung2023!F17/360),(LSTBerechnung2023!F17/360),H8)))),2)))*LSTBerechnung2023!C11)</f>
        <v/>
      </c>
      <c r="I34" s="197"/>
      <c r="J34" s="180"/>
      <c r="K34" s="180"/>
      <c r="L34" s="131"/>
      <c r="M34" s="131"/>
      <c r="N34" s="178"/>
      <c r="O34" s="125"/>
      <c r="P34" t="str">
        <f>IF(P21=1,2.025,1.525) + IF(P19=1,0.25,0) &amp; " % Pflegeversicherung"</f>
        <v>1,525 % Pflegeversicherung</v>
      </c>
    </row>
    <row r="35" spans="2:16" x14ac:dyDescent="0.2">
      <c r="B35" s="176"/>
      <c r="C35" s="131"/>
      <c r="D35" s="180" t="s">
        <v>221</v>
      </c>
      <c r="E35" s="180"/>
      <c r="F35" s="180"/>
      <c r="G35" s="180"/>
      <c r="H35" s="196" t="str">
        <f>IF($P$2=0,"",IF(P13=0,ROUND(IF(P9=1,IF(H8&gt;LSTBerechnung2023!C9,LSTBerechnung2023!C9,H8),IF(P9=2,IF(H8&gt;(LSTBerechnung2023!C9/12),(LSTBerechnung2023!C9/12),H8),IF(P9=3,IF(H8&gt;(LSTBerechnung2023!C9/360*7),(LSTBerechnung2023!C9/360*7),H8),IF(H8&gt;(LSTBerechnung2023!C9/360),(LSTBerechnung2023!C9/360),H8))))*LSTBerechnung2023!G6,2),0))</f>
        <v/>
      </c>
      <c r="I35" s="197"/>
      <c r="J35" s="180"/>
      <c r="K35" s="180"/>
      <c r="L35" s="131"/>
      <c r="M35" s="131"/>
      <c r="N35" s="178"/>
      <c r="O35" s="125"/>
    </row>
    <row r="36" spans="2:16" ht="6.75" customHeight="1" x14ac:dyDescent="0.2">
      <c r="B36" s="176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78"/>
    </row>
    <row r="37" spans="2:16" x14ac:dyDescent="0.2">
      <c r="B37" s="176"/>
      <c r="C37" s="131"/>
      <c r="D37" s="198" t="s">
        <v>27</v>
      </c>
      <c r="E37" s="198"/>
      <c r="F37" s="198"/>
      <c r="G37" s="198"/>
      <c r="H37" s="199" t="str">
        <f>IF($P$2=0,"",SUM(H28:H35))</f>
        <v/>
      </c>
      <c r="I37" s="131"/>
      <c r="J37" s="131"/>
      <c r="K37" s="131"/>
      <c r="L37" s="131"/>
      <c r="M37" s="131"/>
      <c r="N37" s="178"/>
    </row>
    <row r="38" spans="2:16" ht="13.5" thickBot="1" x14ac:dyDescent="0.25">
      <c r="B38" s="176"/>
      <c r="C38" s="131"/>
      <c r="D38" s="200" t="s">
        <v>28</v>
      </c>
      <c r="E38" s="200"/>
      <c r="F38" s="200"/>
      <c r="G38" s="200"/>
      <c r="H38" s="201" t="str">
        <f>IF(H8="","",L8-H37)</f>
        <v/>
      </c>
      <c r="I38" s="202"/>
      <c r="J38" s="202"/>
      <c r="K38" s="202"/>
      <c r="L38" s="131"/>
      <c r="M38" s="131"/>
      <c r="N38" s="178"/>
    </row>
    <row r="39" spans="2:16" ht="13.5" thickBot="1" x14ac:dyDescent="0.25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5"/>
    </row>
    <row r="41" spans="2:16" x14ac:dyDescent="0.2">
      <c r="B41" s="453" t="s">
        <v>19</v>
      </c>
      <c r="C41" s="453"/>
      <c r="D41" s="453"/>
      <c r="E41" s="73" t="s">
        <v>11</v>
      </c>
      <c r="F41" s="73" t="s">
        <v>20</v>
      </c>
    </row>
    <row r="43" spans="2:16" x14ac:dyDescent="0.2">
      <c r="B43" s="9" t="s">
        <v>211</v>
      </c>
    </row>
    <row r="44" spans="2:16" x14ac:dyDescent="0.2">
      <c r="B44" s="9" t="s">
        <v>5</v>
      </c>
    </row>
    <row r="45" spans="2:16" x14ac:dyDescent="0.2">
      <c r="B45" s="9" t="s">
        <v>6</v>
      </c>
    </row>
  </sheetData>
  <mergeCells count="7">
    <mergeCell ref="B41:D41"/>
    <mergeCell ref="B4:N4"/>
    <mergeCell ref="D6:I6"/>
    <mergeCell ref="H13:I13"/>
    <mergeCell ref="D22:F22"/>
    <mergeCell ref="H22:I22"/>
    <mergeCell ref="D26:F26"/>
  </mergeCells>
  <conditionalFormatting sqref="L22">
    <cfRule type="cellIs" priority="1" stopIfTrue="1" operator="between">
      <formula>0</formula>
      <formula>5</formula>
    </cfRule>
  </conditionalFormatting>
  <conditionalFormatting sqref="D6">
    <cfRule type="expression" dxfId="16" priority="2" stopIfTrue="1">
      <formula>$P$2=0</formula>
    </cfRule>
  </conditionalFormatting>
  <conditionalFormatting sqref="D6:I6">
    <cfRule type="expression" dxfId="15" priority="3" stopIfTrue="1">
      <formula>$P$2=1</formula>
    </cfRule>
  </conditionalFormatting>
  <dataValidations disablePrompts="1" count="2">
    <dataValidation allowBlank="1" showInputMessage="1" showErrorMessage="1" promptTitle="Krankenkassenzusatzbeitragssatz" prompt="Der Krankenkassenzusatzbeitragssatz, den der Arbeitnehmer alleine zu tragen hat (bisher 0,9%) wird 2014 von jeder Krankenkasse selbst festgelegt (zur Verbesserung des  Wettbewerbs)." sqref="R17:R18" xr:uid="{6B0976FD-A44F-48C8-ADEF-84DABD724BD7}"/>
    <dataValidation type="decimal" allowBlank="1" showInputMessage="1" showErrorMessage="1" sqref="L12" xr:uid="{2F44B8F7-5E00-42EB-AE29-8B892580FCA5}">
      <formula1>0</formula1>
      <formula2>1</formula2>
    </dataValidation>
  </dataValidations>
  <hyperlinks>
    <hyperlink ref="B41:D41" location="StartseiteB5" display="&lt;&lt; Startseite" xr:uid="{4348CAD1-CC37-416E-AA10-E88BB6A0362B}"/>
    <hyperlink ref="E41" location="BeispielB3" display="Beispiel" xr:uid="{5C208820-80AE-4B99-AA8F-DDEA46DA178D}"/>
    <hyperlink ref="F41" location="HilfeB3" display="Hilfe?" xr:uid="{3D905265-3FE5-43FB-B037-CF4E09C5B53C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tabColor rgb="FFFF0000"/>
  </sheetPr>
  <dimension ref="A1:P69"/>
  <sheetViews>
    <sheetView zoomScale="85" zoomScaleNormal="85" workbookViewId="0">
      <selection activeCell="Q6" sqref="Q6"/>
    </sheetView>
  </sheetViews>
  <sheetFormatPr baseColWidth="10" defaultRowHeight="12.75" x14ac:dyDescent="0.2"/>
  <cols>
    <col min="1" max="2" width="11.42578125" style="214"/>
    <col min="3" max="3" width="11.85546875" style="214" bestFit="1" customWidth="1"/>
    <col min="4" max="4" width="11.42578125" style="214"/>
    <col min="5" max="5" width="18.42578125" style="214" bestFit="1" customWidth="1"/>
    <col min="6" max="6" width="12" style="214" bestFit="1" customWidth="1"/>
    <col min="7" max="260" width="11.42578125" style="214"/>
    <col min="261" max="261" width="18.42578125" style="214" bestFit="1" customWidth="1"/>
    <col min="262" max="516" width="11.42578125" style="214"/>
    <col min="517" max="517" width="18.42578125" style="214" bestFit="1" customWidth="1"/>
    <col min="518" max="772" width="11.42578125" style="214"/>
    <col min="773" max="773" width="18.42578125" style="214" bestFit="1" customWidth="1"/>
    <col min="774" max="1028" width="11.42578125" style="214"/>
    <col min="1029" max="1029" width="18.42578125" style="214" bestFit="1" customWidth="1"/>
    <col min="1030" max="1284" width="11.42578125" style="214"/>
    <col min="1285" max="1285" width="18.42578125" style="214" bestFit="1" customWidth="1"/>
    <col min="1286" max="1540" width="11.42578125" style="214"/>
    <col min="1541" max="1541" width="18.42578125" style="214" bestFit="1" customWidth="1"/>
    <col min="1542" max="1796" width="11.42578125" style="214"/>
    <col min="1797" max="1797" width="18.42578125" style="214" bestFit="1" customWidth="1"/>
    <col min="1798" max="2052" width="11.42578125" style="214"/>
    <col min="2053" max="2053" width="18.42578125" style="214" bestFit="1" customWidth="1"/>
    <col min="2054" max="2308" width="11.42578125" style="214"/>
    <col min="2309" max="2309" width="18.42578125" style="214" bestFit="1" customWidth="1"/>
    <col min="2310" max="2564" width="11.42578125" style="214"/>
    <col min="2565" max="2565" width="18.42578125" style="214" bestFit="1" customWidth="1"/>
    <col min="2566" max="2820" width="11.42578125" style="214"/>
    <col min="2821" max="2821" width="18.42578125" style="214" bestFit="1" customWidth="1"/>
    <col min="2822" max="3076" width="11.42578125" style="214"/>
    <col min="3077" max="3077" width="18.42578125" style="214" bestFit="1" customWidth="1"/>
    <col min="3078" max="3332" width="11.42578125" style="214"/>
    <col min="3333" max="3333" width="18.42578125" style="214" bestFit="1" customWidth="1"/>
    <col min="3334" max="3588" width="11.42578125" style="214"/>
    <col min="3589" max="3589" width="18.42578125" style="214" bestFit="1" customWidth="1"/>
    <col min="3590" max="3844" width="11.42578125" style="214"/>
    <col min="3845" max="3845" width="18.42578125" style="214" bestFit="1" customWidth="1"/>
    <col min="3846" max="4100" width="11.42578125" style="214"/>
    <col min="4101" max="4101" width="18.42578125" style="214" bestFit="1" customWidth="1"/>
    <col min="4102" max="4356" width="11.42578125" style="214"/>
    <col min="4357" max="4357" width="18.42578125" style="214" bestFit="1" customWidth="1"/>
    <col min="4358" max="4612" width="11.42578125" style="214"/>
    <col min="4613" max="4613" width="18.42578125" style="214" bestFit="1" customWidth="1"/>
    <col min="4614" max="4868" width="11.42578125" style="214"/>
    <col min="4869" max="4869" width="18.42578125" style="214" bestFit="1" customWidth="1"/>
    <col min="4870" max="5124" width="11.42578125" style="214"/>
    <col min="5125" max="5125" width="18.42578125" style="214" bestFit="1" customWidth="1"/>
    <col min="5126" max="5380" width="11.42578125" style="214"/>
    <col min="5381" max="5381" width="18.42578125" style="214" bestFit="1" customWidth="1"/>
    <col min="5382" max="5636" width="11.42578125" style="214"/>
    <col min="5637" max="5637" width="18.42578125" style="214" bestFit="1" customWidth="1"/>
    <col min="5638" max="5892" width="11.42578125" style="214"/>
    <col min="5893" max="5893" width="18.42578125" style="214" bestFit="1" customWidth="1"/>
    <col min="5894" max="6148" width="11.42578125" style="214"/>
    <col min="6149" max="6149" width="18.42578125" style="214" bestFit="1" customWidth="1"/>
    <col min="6150" max="6404" width="11.42578125" style="214"/>
    <col min="6405" max="6405" width="18.42578125" style="214" bestFit="1" customWidth="1"/>
    <col min="6406" max="6660" width="11.42578125" style="214"/>
    <col min="6661" max="6661" width="18.42578125" style="214" bestFit="1" customWidth="1"/>
    <col min="6662" max="6916" width="11.42578125" style="214"/>
    <col min="6917" max="6917" width="18.42578125" style="214" bestFit="1" customWidth="1"/>
    <col min="6918" max="7172" width="11.42578125" style="214"/>
    <col min="7173" max="7173" width="18.42578125" style="214" bestFit="1" customWidth="1"/>
    <col min="7174" max="7428" width="11.42578125" style="214"/>
    <col min="7429" max="7429" width="18.42578125" style="214" bestFit="1" customWidth="1"/>
    <col min="7430" max="7684" width="11.42578125" style="214"/>
    <col min="7685" max="7685" width="18.42578125" style="214" bestFit="1" customWidth="1"/>
    <col min="7686" max="7940" width="11.42578125" style="214"/>
    <col min="7941" max="7941" width="18.42578125" style="214" bestFit="1" customWidth="1"/>
    <col min="7942" max="8196" width="11.42578125" style="214"/>
    <col min="8197" max="8197" width="18.42578125" style="214" bestFit="1" customWidth="1"/>
    <col min="8198" max="8452" width="11.42578125" style="214"/>
    <col min="8453" max="8453" width="18.42578125" style="214" bestFit="1" customWidth="1"/>
    <col min="8454" max="8708" width="11.42578125" style="214"/>
    <col min="8709" max="8709" width="18.42578125" style="214" bestFit="1" customWidth="1"/>
    <col min="8710" max="8964" width="11.42578125" style="214"/>
    <col min="8965" max="8965" width="18.42578125" style="214" bestFit="1" customWidth="1"/>
    <col min="8966" max="9220" width="11.42578125" style="214"/>
    <col min="9221" max="9221" width="18.42578125" style="214" bestFit="1" customWidth="1"/>
    <col min="9222" max="9476" width="11.42578125" style="214"/>
    <col min="9477" max="9477" width="18.42578125" style="214" bestFit="1" customWidth="1"/>
    <col min="9478" max="9732" width="11.42578125" style="214"/>
    <col min="9733" max="9733" width="18.42578125" style="214" bestFit="1" customWidth="1"/>
    <col min="9734" max="9988" width="11.42578125" style="214"/>
    <col min="9989" max="9989" width="18.42578125" style="214" bestFit="1" customWidth="1"/>
    <col min="9990" max="10244" width="11.42578125" style="214"/>
    <col min="10245" max="10245" width="18.42578125" style="214" bestFit="1" customWidth="1"/>
    <col min="10246" max="10500" width="11.42578125" style="214"/>
    <col min="10501" max="10501" width="18.42578125" style="214" bestFit="1" customWidth="1"/>
    <col min="10502" max="10756" width="11.42578125" style="214"/>
    <col min="10757" max="10757" width="18.42578125" style="214" bestFit="1" customWidth="1"/>
    <col min="10758" max="11012" width="11.42578125" style="214"/>
    <col min="11013" max="11013" width="18.42578125" style="214" bestFit="1" customWidth="1"/>
    <col min="11014" max="11268" width="11.42578125" style="214"/>
    <col min="11269" max="11269" width="18.42578125" style="214" bestFit="1" customWidth="1"/>
    <col min="11270" max="11524" width="11.42578125" style="214"/>
    <col min="11525" max="11525" width="18.42578125" style="214" bestFit="1" customWidth="1"/>
    <col min="11526" max="11780" width="11.42578125" style="214"/>
    <col min="11781" max="11781" width="18.42578125" style="214" bestFit="1" customWidth="1"/>
    <col min="11782" max="12036" width="11.42578125" style="214"/>
    <col min="12037" max="12037" width="18.42578125" style="214" bestFit="1" customWidth="1"/>
    <col min="12038" max="12292" width="11.42578125" style="214"/>
    <col min="12293" max="12293" width="18.42578125" style="214" bestFit="1" customWidth="1"/>
    <col min="12294" max="12548" width="11.42578125" style="214"/>
    <col min="12549" max="12549" width="18.42578125" style="214" bestFit="1" customWidth="1"/>
    <col min="12550" max="12804" width="11.42578125" style="214"/>
    <col min="12805" max="12805" width="18.42578125" style="214" bestFit="1" customWidth="1"/>
    <col min="12806" max="13060" width="11.42578125" style="214"/>
    <col min="13061" max="13061" width="18.42578125" style="214" bestFit="1" customWidth="1"/>
    <col min="13062" max="13316" width="11.42578125" style="214"/>
    <col min="13317" max="13317" width="18.42578125" style="214" bestFit="1" customWidth="1"/>
    <col min="13318" max="13572" width="11.42578125" style="214"/>
    <col min="13573" max="13573" width="18.42578125" style="214" bestFit="1" customWidth="1"/>
    <col min="13574" max="13828" width="11.42578125" style="214"/>
    <col min="13829" max="13829" width="18.42578125" style="214" bestFit="1" customWidth="1"/>
    <col min="13830" max="14084" width="11.42578125" style="214"/>
    <col min="14085" max="14085" width="18.42578125" style="214" bestFit="1" customWidth="1"/>
    <col min="14086" max="14340" width="11.42578125" style="214"/>
    <col min="14341" max="14341" width="18.42578125" style="214" bestFit="1" customWidth="1"/>
    <col min="14342" max="14596" width="11.42578125" style="214"/>
    <col min="14597" max="14597" width="18.42578125" style="214" bestFit="1" customWidth="1"/>
    <col min="14598" max="14852" width="11.42578125" style="214"/>
    <col min="14853" max="14853" width="18.42578125" style="214" bestFit="1" customWidth="1"/>
    <col min="14854" max="15108" width="11.42578125" style="214"/>
    <col min="15109" max="15109" width="18.42578125" style="214" bestFit="1" customWidth="1"/>
    <col min="15110" max="15364" width="11.42578125" style="214"/>
    <col min="15365" max="15365" width="18.42578125" style="214" bestFit="1" customWidth="1"/>
    <col min="15366" max="15620" width="11.42578125" style="214"/>
    <col min="15621" max="15621" width="18.42578125" style="214" bestFit="1" customWidth="1"/>
    <col min="15622" max="15876" width="11.42578125" style="214"/>
    <col min="15877" max="15877" width="18.42578125" style="214" bestFit="1" customWidth="1"/>
    <col min="15878" max="16132" width="11.42578125" style="214"/>
    <col min="16133" max="16133" width="18.42578125" style="214" bestFit="1" customWidth="1"/>
    <col min="16134" max="16384" width="11.42578125" style="214"/>
  </cols>
  <sheetData>
    <row r="1" spans="1:16" ht="27" thickBot="1" x14ac:dyDescent="0.4">
      <c r="A1" s="211" t="s">
        <v>170</v>
      </c>
      <c r="B1" s="212">
        <v>2022</v>
      </c>
      <c r="C1" s="213"/>
      <c r="E1" s="215" t="str">
        <f>"SOZ-VS-BEITRAGSSÄTZE  "&amp;BearbJahr</f>
        <v>SOZ-VS-BEITRAGSSÄTZE  2022</v>
      </c>
      <c r="F1" s="216"/>
      <c r="G1" s="217"/>
      <c r="I1" s="476" t="s">
        <v>22</v>
      </c>
      <c r="J1" s="477"/>
      <c r="K1" s="477"/>
      <c r="L1" s="477"/>
      <c r="M1" s="477"/>
    </row>
    <row r="2" spans="1:16" ht="15.75" thickBot="1" x14ac:dyDescent="0.3">
      <c r="A2" s="218" t="s">
        <v>150</v>
      </c>
      <c r="B2" s="219" t="s">
        <v>31</v>
      </c>
      <c r="C2" s="369">
        <f>IF(Berechnung!P11&gt;4,0,Berechnung!P14)</f>
        <v>0</v>
      </c>
      <c r="E2" s="220" t="s">
        <v>169</v>
      </c>
      <c r="F2" s="221" t="s">
        <v>168</v>
      </c>
      <c r="G2" s="222" t="s">
        <v>167</v>
      </c>
      <c r="I2" s="223" t="s">
        <v>195</v>
      </c>
      <c r="J2" s="223" t="s">
        <v>196</v>
      </c>
      <c r="K2" s="223" t="s">
        <v>197</v>
      </c>
      <c r="L2" s="223" t="s">
        <v>46</v>
      </c>
      <c r="M2" s="223" t="s">
        <v>47</v>
      </c>
    </row>
    <row r="3" spans="1:16" x14ac:dyDescent="0.2">
      <c r="A3" s="224"/>
      <c r="B3" s="225" t="s">
        <v>33</v>
      </c>
      <c r="C3" s="370">
        <f>Berechnung!P9</f>
        <v>1</v>
      </c>
      <c r="E3" s="227" t="s">
        <v>166</v>
      </c>
      <c r="F3" s="404">
        <v>0.14599999999999999</v>
      </c>
      <c r="G3" s="124">
        <f>F3/2+F4</f>
        <v>7.2999999999999995E-2</v>
      </c>
      <c r="I3" s="229"/>
      <c r="J3" s="229"/>
      <c r="K3" s="229">
        <v>0</v>
      </c>
      <c r="L3" s="229">
        <v>0</v>
      </c>
      <c r="M3" s="229">
        <v>0</v>
      </c>
    </row>
    <row r="4" spans="1:16" x14ac:dyDescent="0.2">
      <c r="A4" s="224"/>
      <c r="B4" s="225" t="s">
        <v>34</v>
      </c>
      <c r="C4" s="370">
        <f>Berechnung!P13</f>
        <v>0</v>
      </c>
      <c r="E4" s="230" t="s">
        <v>164</v>
      </c>
      <c r="F4" s="405">
        <f>Eingaben!H13/100</f>
        <v>0</v>
      </c>
      <c r="G4" s="124">
        <f>F4/2+0.07</f>
        <v>7.0000000000000007E-2</v>
      </c>
      <c r="I4" s="232" t="s">
        <v>198</v>
      </c>
      <c r="J4" s="232" t="s">
        <v>199</v>
      </c>
      <c r="K4" s="229">
        <v>1</v>
      </c>
      <c r="L4" s="417">
        <v>0.4</v>
      </c>
      <c r="M4" s="229">
        <v>1900</v>
      </c>
    </row>
    <row r="5" spans="1:16" x14ac:dyDescent="0.2">
      <c r="A5" s="224"/>
      <c r="B5" s="225" t="s">
        <v>35</v>
      </c>
      <c r="C5" s="371" t="e">
        <f>ROUNDDOWN(IF(C3=1,Berechnung!H8*100,IF(C3=2,(Berechnung!H8*100)*12,IF(C3=3,((Berechnung!H8*100)*360)/7,(Berechnung!H8*100)*360))),2)</f>
        <v>#VALUE!</v>
      </c>
      <c r="E5" s="227" t="s">
        <v>163</v>
      </c>
      <c r="F5" s="406">
        <v>0.186</v>
      </c>
      <c r="G5" s="124">
        <f>F5/2</f>
        <v>9.2999999999999999E-2</v>
      </c>
      <c r="I5" s="229">
        <v>1941</v>
      </c>
      <c r="J5" s="229">
        <v>2006</v>
      </c>
      <c r="K5" s="229">
        <v>2</v>
      </c>
      <c r="L5" s="417">
        <v>0.38400000000000001</v>
      </c>
      <c r="M5" s="229">
        <v>1824</v>
      </c>
    </row>
    <row r="6" spans="1:16" x14ac:dyDescent="0.2">
      <c r="A6" s="224"/>
      <c r="B6" s="225" t="s">
        <v>36</v>
      </c>
      <c r="C6" s="372">
        <f>+Berechnung!P11</f>
        <v>1</v>
      </c>
      <c r="E6" s="230" t="s">
        <v>162</v>
      </c>
      <c r="F6" s="405">
        <v>2.5999999999999999E-2</v>
      </c>
      <c r="G6" s="124">
        <f>F6/2</f>
        <v>1.2999999999999999E-2</v>
      </c>
      <c r="I6" s="229">
        <v>1942</v>
      </c>
      <c r="J6" s="229">
        <v>2007</v>
      </c>
      <c r="K6" s="229">
        <v>3</v>
      </c>
      <c r="L6" s="417">
        <v>0.36799999999999999</v>
      </c>
      <c r="M6" s="229">
        <v>1748</v>
      </c>
    </row>
    <row r="7" spans="1:16" x14ac:dyDescent="0.2">
      <c r="A7" s="224"/>
      <c r="B7" s="225" t="s">
        <v>39</v>
      </c>
      <c r="C7" s="373">
        <f>IF(C6=6,0,Berechnung!P23*100)</f>
        <v>0</v>
      </c>
      <c r="E7" s="230" t="s">
        <v>161</v>
      </c>
      <c r="F7" s="438">
        <v>3.0499999999999999E-2</v>
      </c>
      <c r="G7" s="367">
        <f>IF(AND(Eingaben!P15=1,Eingaben!P17),F8+F9,IF(Eingaben!P15=1,F8,IF(AND(Eingaben!P10=0,Eingaben!P15=1),F7/2+F9,F7/2)))</f>
        <v>1.525E-2</v>
      </c>
      <c r="H7" s="214" t="s">
        <v>160</v>
      </c>
      <c r="I7" s="229">
        <v>1943</v>
      </c>
      <c r="J7" s="229">
        <v>2008</v>
      </c>
      <c r="K7" s="229">
        <v>4</v>
      </c>
      <c r="L7" s="417">
        <v>0.35199999999999998</v>
      </c>
      <c r="M7" s="229">
        <v>1672</v>
      </c>
    </row>
    <row r="8" spans="1:16" x14ac:dyDescent="0.2">
      <c r="A8" s="224"/>
      <c r="B8" s="225" t="s">
        <v>37</v>
      </c>
      <c r="C8" s="374">
        <f>Berechnung!P24*100</f>
        <v>0</v>
      </c>
      <c r="E8" s="230" t="s">
        <v>159</v>
      </c>
      <c r="F8" s="439">
        <v>2.0250000000000001E-2</v>
      </c>
      <c r="G8" s="234"/>
      <c r="I8" s="229">
        <v>1944</v>
      </c>
      <c r="J8" s="229">
        <v>2009</v>
      </c>
      <c r="K8" s="229">
        <v>5</v>
      </c>
      <c r="L8" s="417">
        <v>0.33600000000000002</v>
      </c>
      <c r="M8" s="229">
        <v>1596</v>
      </c>
    </row>
    <row r="9" spans="1:16" x14ac:dyDescent="0.2">
      <c r="A9" s="224"/>
      <c r="B9" s="225" t="s">
        <v>135</v>
      </c>
      <c r="C9" s="375">
        <f>IF(Berechnung!P20=0,F15,F16)</f>
        <v>87600</v>
      </c>
      <c r="E9" s="230" t="s">
        <v>159</v>
      </c>
      <c r="F9" s="439">
        <v>3.5000000000000001E-3</v>
      </c>
      <c r="G9" s="235"/>
      <c r="I9" s="229">
        <v>1945</v>
      </c>
      <c r="J9" s="229">
        <v>2010</v>
      </c>
      <c r="K9" s="229">
        <v>6</v>
      </c>
      <c r="L9" s="417">
        <v>0.32</v>
      </c>
      <c r="M9" s="229">
        <v>1520</v>
      </c>
    </row>
    <row r="10" spans="1:16" x14ac:dyDescent="0.2">
      <c r="A10" s="224"/>
      <c r="B10" s="225" t="s">
        <v>42</v>
      </c>
      <c r="C10" s="375">
        <f>IF(Eingaben!H12&gt;20,MAX($C$31,ROUNDDOWN(Eingaben!H12*12,2)-IF(Eingaben!P14=1,IF(Eingaben!P16=1,SUM(F11,F7,-F8),SUM(F11,F7/2))*MIN(C5/100,F17),0)),0)</f>
        <v>0</v>
      </c>
      <c r="E10" s="230" t="s">
        <v>200</v>
      </c>
      <c r="F10" s="404">
        <v>1.6E-2</v>
      </c>
      <c r="G10" s="235"/>
      <c r="I10" s="229">
        <v>1946</v>
      </c>
      <c r="J10" s="229">
        <v>2011</v>
      </c>
      <c r="K10" s="229">
        <v>7</v>
      </c>
      <c r="L10" s="417">
        <v>0.30399999999999999</v>
      </c>
      <c r="M10" s="229">
        <v>1444</v>
      </c>
    </row>
    <row r="11" spans="1:16" x14ac:dyDescent="0.2">
      <c r="A11" s="236"/>
      <c r="B11" s="225" t="s">
        <v>43</v>
      </c>
      <c r="C11" s="376">
        <f>IF(AND(Berechnung!P19=1,Berechnung!P21=1),F8+F9,IF(Berechnung!P21=1,F8,IF(AND(Berechnung!P14=0,Berechnung!P19=1),F7/2+F9,F7/2)))</f>
        <v>1.525E-2</v>
      </c>
      <c r="E11" s="237" t="s">
        <v>156</v>
      </c>
      <c r="F11" s="407">
        <v>7.8E-2</v>
      </c>
      <c r="G11" s="234">
        <f>F3/2+F7-G7+F10/2</f>
        <v>9.6250000000000002E-2</v>
      </c>
      <c r="H11" s="214" t="s">
        <v>155</v>
      </c>
      <c r="I11" s="229">
        <v>1947</v>
      </c>
      <c r="J11" s="229">
        <v>2012</v>
      </c>
      <c r="K11" s="229">
        <v>8</v>
      </c>
      <c r="L11" s="417">
        <v>0.28799999999999998</v>
      </c>
      <c r="M11" s="229">
        <v>1368</v>
      </c>
    </row>
    <row r="12" spans="1:16" x14ac:dyDescent="0.2">
      <c r="A12" s="224"/>
      <c r="B12" s="225" t="s">
        <v>44</v>
      </c>
      <c r="C12" s="377">
        <f>IF(OR(OR(Berechnung!P12=0,Berechnung!P12&gt;1),Berechnung!P11&lt;&gt;4),1,Berechnung!P12)</f>
        <v>1</v>
      </c>
      <c r="I12" s="229">
        <v>1948</v>
      </c>
      <c r="J12" s="229">
        <v>2013</v>
      </c>
      <c r="K12" s="229">
        <v>9</v>
      </c>
      <c r="L12" s="417">
        <v>0.27200000000000002</v>
      </c>
      <c r="M12" s="229">
        <v>1292</v>
      </c>
    </row>
    <row r="13" spans="1:16" s="225" customFormat="1" ht="16.5" x14ac:dyDescent="0.25">
      <c r="A13" s="240" t="s">
        <v>45</v>
      </c>
      <c r="B13" s="241" t="s">
        <v>46</v>
      </c>
      <c r="C13" s="370">
        <f>VLOOKUP(Eingaben!T26,K3:L23,2,FALSE)</f>
        <v>0</v>
      </c>
      <c r="D13" s="214"/>
      <c r="E13" s="121" t="s">
        <v>154</v>
      </c>
      <c r="F13" s="120"/>
      <c r="G13" s="119"/>
      <c r="H13" s="214"/>
      <c r="I13" s="229">
        <v>1949</v>
      </c>
      <c r="J13" s="229">
        <v>2014</v>
      </c>
      <c r="K13" s="229">
        <v>10</v>
      </c>
      <c r="L13" s="417">
        <v>0.25600000000000001</v>
      </c>
      <c r="M13" s="229">
        <v>1216</v>
      </c>
      <c r="P13" s="225">
        <f>2005-64</f>
        <v>1941</v>
      </c>
    </row>
    <row r="14" spans="1:16" s="225" customFormat="1" ht="15.75" thickBot="1" x14ac:dyDescent="0.3">
      <c r="B14" s="225" t="s">
        <v>47</v>
      </c>
      <c r="C14" s="370">
        <f>VLOOKUP(Eingaben!T26,K3:M23,3,FALSE)*100</f>
        <v>0</v>
      </c>
      <c r="D14" s="214"/>
      <c r="E14" s="243" t="s">
        <v>153</v>
      </c>
      <c r="F14" s="244" t="s">
        <v>152</v>
      </c>
      <c r="G14" s="243" t="s">
        <v>151</v>
      </c>
      <c r="H14" s="214"/>
      <c r="I14" s="229">
        <v>1950</v>
      </c>
      <c r="J14" s="229">
        <v>2015</v>
      </c>
      <c r="K14" s="229">
        <v>11</v>
      </c>
      <c r="L14" s="418">
        <v>0.24</v>
      </c>
      <c r="M14" s="245">
        <v>1140</v>
      </c>
    </row>
    <row r="15" spans="1:16" s="225" customFormat="1" ht="13.5" thickTop="1" x14ac:dyDescent="0.2">
      <c r="B15" s="225" t="s">
        <v>48</v>
      </c>
      <c r="C15" s="226">
        <f>C14</f>
        <v>0</v>
      </c>
      <c r="D15" s="214"/>
      <c r="E15" s="227" t="s">
        <v>135</v>
      </c>
      <c r="F15" s="392">
        <v>87600</v>
      </c>
      <c r="G15" s="247" t="s">
        <v>150</v>
      </c>
      <c r="H15" s="214"/>
      <c r="I15" s="229">
        <v>1951</v>
      </c>
      <c r="J15" s="229">
        <v>2016</v>
      </c>
      <c r="K15" s="229">
        <v>12</v>
      </c>
      <c r="L15" s="418">
        <v>0.224</v>
      </c>
      <c r="M15" s="245">
        <v>1064</v>
      </c>
    </row>
    <row r="16" spans="1:16" s="225" customFormat="1" x14ac:dyDescent="0.2">
      <c r="B16" s="225" t="s">
        <v>49</v>
      </c>
      <c r="C16" s="370">
        <f>IF(Berechnung!P22=0,0,IF((C5*C13)&gt;C15,C15,C5*C13))</f>
        <v>0</v>
      </c>
      <c r="D16" s="214"/>
      <c r="E16" s="227" t="s">
        <v>135</v>
      </c>
      <c r="F16" s="393">
        <v>85200</v>
      </c>
      <c r="G16" s="249"/>
      <c r="H16" s="214"/>
      <c r="I16" s="229">
        <v>1952</v>
      </c>
      <c r="J16" s="229">
        <v>2017</v>
      </c>
      <c r="K16" s="229">
        <v>13</v>
      </c>
      <c r="L16" s="418">
        <v>0.20799999999999999</v>
      </c>
      <c r="M16" s="245">
        <v>988</v>
      </c>
    </row>
    <row r="17" spans="1:16" s="225" customFormat="1" x14ac:dyDescent="0.2">
      <c r="B17" s="225" t="s">
        <v>50</v>
      </c>
      <c r="C17" s="422" t="e">
        <f>C5-C8+C7-C16</f>
        <v>#VALUE!</v>
      </c>
      <c r="D17" s="214"/>
      <c r="E17" s="227" t="s">
        <v>149</v>
      </c>
      <c r="F17" s="392">
        <v>59850</v>
      </c>
      <c r="G17" s="249"/>
      <c r="H17" s="214"/>
      <c r="I17" s="229">
        <v>1953</v>
      </c>
      <c r="J17" s="229">
        <v>2018</v>
      </c>
      <c r="K17" s="229">
        <v>14</v>
      </c>
      <c r="L17" s="418">
        <v>0.192</v>
      </c>
      <c r="M17" s="245">
        <v>912</v>
      </c>
    </row>
    <row r="18" spans="1:16" s="225" customFormat="1" x14ac:dyDescent="0.2">
      <c r="B18" s="225" t="s">
        <v>51</v>
      </c>
      <c r="C18" s="422" t="e">
        <f>C5</f>
        <v>#VALUE!</v>
      </c>
      <c r="D18" s="214"/>
      <c r="E18" s="230" t="s">
        <v>148</v>
      </c>
      <c r="F18" s="394">
        <v>7.8000000000000014E-2</v>
      </c>
      <c r="G18" s="249"/>
      <c r="H18" s="214"/>
      <c r="I18" s="229">
        <v>1954</v>
      </c>
      <c r="J18" s="229">
        <v>2019</v>
      </c>
      <c r="K18" s="229">
        <v>15</v>
      </c>
      <c r="L18" s="418">
        <v>0.17599999999999999</v>
      </c>
      <c r="M18" s="245">
        <v>836</v>
      </c>
      <c r="O18" s="225">
        <f>0.008+0.07</f>
        <v>7.8000000000000014E-2</v>
      </c>
    </row>
    <row r="19" spans="1:16" s="225" customFormat="1" x14ac:dyDescent="0.2">
      <c r="C19" s="226"/>
      <c r="D19" s="214"/>
      <c r="E19" s="252" t="s">
        <v>147</v>
      </c>
      <c r="F19" s="395">
        <v>1</v>
      </c>
      <c r="G19" s="249"/>
      <c r="H19" s="214"/>
      <c r="I19" s="229">
        <v>1955</v>
      </c>
      <c r="J19" s="229">
        <v>2020</v>
      </c>
      <c r="K19" s="229">
        <v>16</v>
      </c>
      <c r="L19" s="418">
        <v>0.16</v>
      </c>
      <c r="M19" s="245">
        <v>760</v>
      </c>
    </row>
    <row r="20" spans="1:16" s="225" customFormat="1" x14ac:dyDescent="0.2">
      <c r="A20" s="240" t="s">
        <v>52</v>
      </c>
      <c r="B20" s="241" t="s">
        <v>50</v>
      </c>
      <c r="C20" s="426" t="e">
        <f>C17/100</f>
        <v>#VALUE!</v>
      </c>
      <c r="D20" s="214"/>
      <c r="E20" s="254" t="s">
        <v>146</v>
      </c>
      <c r="F20" s="396">
        <v>12485</v>
      </c>
      <c r="G20" s="249"/>
      <c r="H20" s="214"/>
      <c r="I20" s="229">
        <v>1956</v>
      </c>
      <c r="J20" s="229">
        <v>2021</v>
      </c>
      <c r="K20" s="229">
        <v>17</v>
      </c>
      <c r="L20" s="418">
        <v>0.152</v>
      </c>
      <c r="M20" s="245">
        <v>722</v>
      </c>
    </row>
    <row r="21" spans="1:16" s="225" customFormat="1" x14ac:dyDescent="0.2">
      <c r="B21" s="225" t="s">
        <v>51</v>
      </c>
      <c r="C21" s="426" t="e">
        <f>C18/100</f>
        <v>#VALUE!</v>
      </c>
      <c r="D21" s="214"/>
      <c r="E21" s="254" t="s">
        <v>145</v>
      </c>
      <c r="F21" s="396">
        <v>31404</v>
      </c>
      <c r="G21" s="249"/>
      <c r="H21" s="214"/>
      <c r="I21" s="229">
        <v>1957</v>
      </c>
      <c r="J21" s="229">
        <v>2022</v>
      </c>
      <c r="K21" s="229">
        <v>18</v>
      </c>
      <c r="L21" s="418">
        <v>0.14399999999999999</v>
      </c>
      <c r="M21" s="245">
        <v>684</v>
      </c>
    </row>
    <row r="22" spans="1:16" s="225" customFormat="1" x14ac:dyDescent="0.2">
      <c r="C22" s="226"/>
      <c r="D22" s="214"/>
      <c r="E22" s="254" t="s">
        <v>144</v>
      </c>
      <c r="F22" s="396">
        <v>222260</v>
      </c>
      <c r="G22" s="249"/>
      <c r="H22" s="214"/>
      <c r="I22" s="408">
        <v>1958</v>
      </c>
      <c r="J22" s="408">
        <v>2023</v>
      </c>
      <c r="K22" s="408">
        <v>19</v>
      </c>
      <c r="L22" s="419">
        <v>0.13600000000000001</v>
      </c>
      <c r="M22" s="409">
        <v>646</v>
      </c>
    </row>
    <row r="23" spans="1:16" x14ac:dyDescent="0.2">
      <c r="A23" s="256" t="s">
        <v>53</v>
      </c>
      <c r="B23" s="241" t="s">
        <v>54</v>
      </c>
      <c r="C23" s="426">
        <f>IF(C6=3,2,1)</f>
        <v>1</v>
      </c>
      <c r="E23" s="254" t="s">
        <v>143</v>
      </c>
      <c r="F23" s="396">
        <v>10908</v>
      </c>
      <c r="G23" s="249"/>
      <c r="I23" s="214">
        <v>1959</v>
      </c>
      <c r="J23" s="214">
        <v>2024</v>
      </c>
      <c r="K23" s="214">
        <v>20</v>
      </c>
      <c r="L23" s="420"/>
      <c r="M23" s="225"/>
    </row>
    <row r="24" spans="1:16" ht="13.5" thickBot="1" x14ac:dyDescent="0.25">
      <c r="A24" s="257"/>
      <c r="B24" s="225" t="s">
        <v>55</v>
      </c>
      <c r="C24" s="422">
        <f>F25</f>
        <v>1230</v>
      </c>
      <c r="E24" s="258" t="s">
        <v>90</v>
      </c>
      <c r="F24" s="397">
        <v>17543</v>
      </c>
      <c r="G24" s="260"/>
      <c r="I24" s="214">
        <v>1960</v>
      </c>
      <c r="J24" s="214">
        <v>2025</v>
      </c>
      <c r="K24" s="214">
        <v>21</v>
      </c>
      <c r="L24" s="421">
        <v>0.12</v>
      </c>
      <c r="M24" s="214">
        <v>570</v>
      </c>
    </row>
    <row r="25" spans="1:16" ht="13.5" thickTop="1" x14ac:dyDescent="0.2">
      <c r="A25" s="257"/>
      <c r="B25" s="225" t="s">
        <v>56</v>
      </c>
      <c r="C25" s="426">
        <f>IF(C6=2,F26,0)</f>
        <v>0</v>
      </c>
      <c r="E25" s="230" t="s">
        <v>55</v>
      </c>
      <c r="F25" s="416">
        <v>1230</v>
      </c>
      <c r="G25" s="262" t="s">
        <v>53</v>
      </c>
      <c r="I25" s="214">
        <v>1961</v>
      </c>
      <c r="J25" s="214">
        <v>2026</v>
      </c>
      <c r="K25" s="214">
        <v>22</v>
      </c>
      <c r="L25" s="421">
        <v>0.112</v>
      </c>
      <c r="M25" s="214">
        <v>532</v>
      </c>
    </row>
    <row r="26" spans="1:16" x14ac:dyDescent="0.2">
      <c r="A26" s="224"/>
      <c r="B26" s="225" t="s">
        <v>57</v>
      </c>
      <c r="C26" s="426">
        <f>IF(C6&gt;5,0,F27)</f>
        <v>36</v>
      </c>
      <c r="E26" s="230" t="s">
        <v>56</v>
      </c>
      <c r="F26" s="393">
        <v>4260</v>
      </c>
      <c r="G26" s="249"/>
      <c r="I26" s="214">
        <v>1962</v>
      </c>
      <c r="J26" s="214">
        <v>2027</v>
      </c>
      <c r="K26" s="214">
        <v>23</v>
      </c>
      <c r="L26" s="421">
        <v>0.104</v>
      </c>
      <c r="M26" s="214">
        <v>494</v>
      </c>
      <c r="O26" s="413" t="s">
        <v>216</v>
      </c>
      <c r="P26" s="214" t="s">
        <v>215</v>
      </c>
    </row>
    <row r="27" spans="1:16" x14ac:dyDescent="0.2">
      <c r="A27" s="224"/>
      <c r="B27" s="225" t="s">
        <v>58</v>
      </c>
      <c r="C27" s="426">
        <f>IF(C6&lt;4,C2*F28,IF(C6=4,C2*F28/2,0))</f>
        <v>0</v>
      </c>
      <c r="E27" s="252" t="s">
        <v>57</v>
      </c>
      <c r="F27" s="398">
        <v>36</v>
      </c>
      <c r="G27" s="249"/>
      <c r="I27" s="214">
        <v>1963</v>
      </c>
      <c r="J27" s="214">
        <v>2028</v>
      </c>
      <c r="K27" s="214">
        <v>24</v>
      </c>
      <c r="L27" s="421">
        <v>9.6000000000000002E-2</v>
      </c>
      <c r="M27" s="214">
        <v>456</v>
      </c>
    </row>
    <row r="28" spans="1:16" ht="13.5" thickBot="1" x14ac:dyDescent="0.25">
      <c r="A28" s="224"/>
      <c r="B28" s="225" t="s">
        <v>59</v>
      </c>
      <c r="C28" s="422">
        <f>IF(C6=6,0,C24+C25+C26)</f>
        <v>1266</v>
      </c>
      <c r="E28" s="264" t="s">
        <v>58</v>
      </c>
      <c r="F28" s="399">
        <v>8952</v>
      </c>
      <c r="G28" s="260"/>
      <c r="I28" s="214">
        <v>1964</v>
      </c>
      <c r="J28" s="214">
        <v>2029</v>
      </c>
      <c r="K28" s="214">
        <v>25</v>
      </c>
      <c r="L28" s="421">
        <v>8.7999999999999995E-2</v>
      </c>
      <c r="M28" s="214">
        <v>418</v>
      </c>
    </row>
    <row r="29" spans="1:16" ht="13.5" thickTop="1" x14ac:dyDescent="0.2">
      <c r="A29" s="256" t="s">
        <v>60</v>
      </c>
      <c r="B29" s="241" t="s">
        <v>51</v>
      </c>
      <c r="C29" s="422" t="e">
        <f>MIN(C9,C21)</f>
        <v>#VALUE!</v>
      </c>
      <c r="E29" s="227" t="s">
        <v>142</v>
      </c>
      <c r="F29" s="400">
        <v>1900</v>
      </c>
      <c r="G29" s="268" t="s">
        <v>60</v>
      </c>
      <c r="I29" s="214">
        <v>1965</v>
      </c>
      <c r="J29" s="214">
        <v>2030</v>
      </c>
      <c r="K29" s="214">
        <v>26</v>
      </c>
      <c r="L29" s="421">
        <v>0.08</v>
      </c>
      <c r="M29" s="214">
        <v>380</v>
      </c>
      <c r="O29" s="230" t="s">
        <v>55</v>
      </c>
      <c r="P29" s="411">
        <v>1230</v>
      </c>
    </row>
    <row r="30" spans="1:16" ht="13.5" thickBot="1" x14ac:dyDescent="0.25">
      <c r="A30" s="224"/>
      <c r="B30" s="225" t="s">
        <v>61</v>
      </c>
      <c r="C30" s="423" t="e">
        <f>IF(C4=1,0,ROUNDDOWN(F19*C29*G5,2))</f>
        <v>#VALUE!</v>
      </c>
      <c r="E30" s="264" t="s">
        <v>142</v>
      </c>
      <c r="F30" s="399">
        <v>3000</v>
      </c>
      <c r="G30" s="260"/>
      <c r="I30" s="214">
        <v>1966</v>
      </c>
      <c r="J30" s="214">
        <v>2031</v>
      </c>
      <c r="K30" s="214">
        <v>27</v>
      </c>
      <c r="L30" s="421">
        <v>7.1999999999999995E-2</v>
      </c>
      <c r="M30" s="214">
        <v>342</v>
      </c>
      <c r="O30" s="230" t="s">
        <v>56</v>
      </c>
      <c r="P30" s="412">
        <v>4260</v>
      </c>
    </row>
    <row r="31" spans="1:16" ht="13.5" thickTop="1" x14ac:dyDescent="0.2">
      <c r="A31" s="224"/>
      <c r="B31" s="225" t="s">
        <v>62</v>
      </c>
      <c r="C31" s="423">
        <f>IF(C23=1,F29,F30)</f>
        <v>1900</v>
      </c>
      <c r="E31" s="270"/>
      <c r="F31" s="401">
        <v>0.42</v>
      </c>
      <c r="G31" s="247" t="s">
        <v>71</v>
      </c>
      <c r="I31" s="214">
        <v>1967</v>
      </c>
      <c r="J31" s="214">
        <v>2032</v>
      </c>
      <c r="K31" s="214">
        <v>28</v>
      </c>
      <c r="L31" s="421">
        <v>6.4000000000000001E-2</v>
      </c>
      <c r="M31" s="214">
        <v>304</v>
      </c>
    </row>
    <row r="32" spans="1:16" ht="13.5" thickBot="1" x14ac:dyDescent="0.25">
      <c r="A32" s="224"/>
      <c r="B32" s="225" t="s">
        <v>63</v>
      </c>
      <c r="C32" s="423" t="e">
        <f>MIN(C31,ROUNDDOWN(0.12*C29,2))</f>
        <v>#VALUE!</v>
      </c>
      <c r="E32" s="272"/>
      <c r="F32" s="402">
        <v>0.45</v>
      </c>
      <c r="G32" s="272"/>
      <c r="I32" s="214">
        <v>1968</v>
      </c>
      <c r="J32" s="214">
        <v>2033</v>
      </c>
      <c r="K32" s="214">
        <v>29</v>
      </c>
      <c r="L32" s="421">
        <v>5.6000000000000001E-2</v>
      </c>
      <c r="M32" s="214">
        <v>266</v>
      </c>
    </row>
    <row r="33" spans="1:13" x14ac:dyDescent="0.2">
      <c r="A33" s="224"/>
      <c r="B33" s="391" t="str">
        <f>IF(Eingaben!H12=0,"KVSatz=0",(Eingaben!H12 +Eingaben!H13)/2 &amp; " % + PV")</f>
        <v>KVSatz=0</v>
      </c>
      <c r="C33" s="425">
        <f>IF(Berechnung!P16=0,0,G4+C11)</f>
        <v>8.5250000000000006E-2</v>
      </c>
      <c r="E33" s="249" t="s">
        <v>141</v>
      </c>
      <c r="F33" s="414">
        <v>5.5</v>
      </c>
      <c r="G33" s="268" t="s">
        <v>89</v>
      </c>
      <c r="I33" s="214">
        <v>1969</v>
      </c>
      <c r="J33" s="214">
        <v>2034</v>
      </c>
      <c r="K33" s="214">
        <v>30</v>
      </c>
      <c r="L33" s="421">
        <v>4.8000000000000001E-2</v>
      </c>
      <c r="M33" s="214">
        <v>228</v>
      </c>
    </row>
    <row r="34" spans="1:13" ht="13.5" thickBot="1" x14ac:dyDescent="0.25">
      <c r="A34" s="224"/>
      <c r="B34" s="275" t="s">
        <v>64</v>
      </c>
      <c r="C34" s="424" t="e">
        <f>IF(C10&gt;0,IF(C6=6,0,C10),ROUNDDOWN(MIN(C21,F17)*C33*100,0)/100)</f>
        <v>#VALUE!</v>
      </c>
      <c r="D34" s="274"/>
      <c r="E34" s="260"/>
      <c r="F34" s="415">
        <v>11.9</v>
      </c>
      <c r="G34" s="278" t="s">
        <v>201</v>
      </c>
      <c r="I34" s="214">
        <v>1970</v>
      </c>
      <c r="J34" s="214">
        <v>2035</v>
      </c>
      <c r="K34" s="214">
        <v>31</v>
      </c>
      <c r="L34" s="421">
        <v>0.04</v>
      </c>
      <c r="M34" s="214">
        <v>190</v>
      </c>
    </row>
    <row r="35" spans="1:13" ht="13.5" thickTop="1" x14ac:dyDescent="0.2">
      <c r="A35" s="224"/>
      <c r="B35" s="225" t="s">
        <v>65</v>
      </c>
      <c r="C35" s="423" t="e">
        <f>IF(C34&gt;C31,C34,C32)</f>
        <v>#VALUE!</v>
      </c>
      <c r="E35" s="249"/>
      <c r="F35" s="396">
        <v>16000</v>
      </c>
      <c r="G35" s="268" t="s">
        <v>205</v>
      </c>
      <c r="I35" s="214">
        <v>1971</v>
      </c>
      <c r="J35" s="214">
        <v>2036</v>
      </c>
      <c r="K35" s="214">
        <v>32</v>
      </c>
      <c r="L35" s="421">
        <v>3.2000000000000001E-2</v>
      </c>
      <c r="M35" s="214">
        <v>152</v>
      </c>
    </row>
    <row r="36" spans="1:13" x14ac:dyDescent="0.2">
      <c r="A36" s="224"/>
      <c r="B36" s="225" t="s">
        <v>66</v>
      </c>
      <c r="C36" s="423" t="e">
        <f>ROUNDUP(C30+C35,0)</f>
        <v>#VALUE!</v>
      </c>
      <c r="E36" s="249"/>
      <c r="F36" s="396">
        <v>62810</v>
      </c>
      <c r="G36" s="249"/>
      <c r="I36" s="214">
        <v>1972</v>
      </c>
      <c r="J36" s="214">
        <v>2037</v>
      </c>
      <c r="K36" s="214">
        <v>33</v>
      </c>
      <c r="L36" s="421">
        <v>2.4E-2</v>
      </c>
      <c r="M36" s="214">
        <v>114</v>
      </c>
    </row>
    <row r="37" spans="1:13" x14ac:dyDescent="0.2">
      <c r="A37" s="256" t="s">
        <v>67</v>
      </c>
      <c r="B37" s="241" t="s">
        <v>68</v>
      </c>
      <c r="C37" s="422" t="e">
        <f>ROUNDDOWN(C20-C28-C36,0)</f>
        <v>#VALUE!</v>
      </c>
      <c r="E37" s="249"/>
      <c r="F37" s="396">
        <v>277826</v>
      </c>
      <c r="G37" s="249"/>
      <c r="I37" s="214">
        <v>1973</v>
      </c>
      <c r="J37" s="214">
        <v>2038</v>
      </c>
      <c r="K37" s="214">
        <v>34</v>
      </c>
      <c r="L37" s="421">
        <v>1.6E-2</v>
      </c>
      <c r="M37" s="214">
        <v>76</v>
      </c>
    </row>
    <row r="38" spans="1:13" x14ac:dyDescent="0.2">
      <c r="A38" s="279"/>
      <c r="B38" s="225" t="s">
        <v>69</v>
      </c>
      <c r="C38" s="422" t="e">
        <f>MAX(0,ROUNDDOWN(C37/C23,0))</f>
        <v>#VALUE!</v>
      </c>
      <c r="E38" s="249"/>
      <c r="F38" s="403">
        <v>192.59</v>
      </c>
      <c r="G38" s="249"/>
      <c r="I38" s="214">
        <v>1974</v>
      </c>
      <c r="J38" s="214">
        <v>2039</v>
      </c>
      <c r="K38" s="214">
        <v>35</v>
      </c>
      <c r="L38" s="421">
        <v>8.0000000000000002E-3</v>
      </c>
      <c r="M38" s="214">
        <v>38</v>
      </c>
    </row>
    <row r="39" spans="1:13" x14ac:dyDescent="0.2">
      <c r="A39" s="256" t="s">
        <v>139</v>
      </c>
      <c r="B39" s="241" t="s">
        <v>70</v>
      </c>
      <c r="C39" s="266" t="e">
        <f>IF(C38&lt;=F23,0,IF(C38&lt;=F35,INT((F41*(C38-F23)/10000+F42)*(C38-F23)/10000),IF(C38&lt;=F36,INT((F38*(C38-F35)/10000+F39)*(C38-F35)/10000+F40),IF(C38&lt;F37,INT(C38*F31-F43),INT(C38*F32-F44)))))*C23</f>
        <v>#VALUE!</v>
      </c>
      <c r="E39" s="249"/>
      <c r="F39" s="396">
        <v>2397</v>
      </c>
      <c r="G39" s="249"/>
      <c r="I39" s="214">
        <v>1975</v>
      </c>
      <c r="J39" s="214">
        <v>2040</v>
      </c>
      <c r="K39" s="214">
        <v>36</v>
      </c>
      <c r="L39" s="421">
        <v>0</v>
      </c>
      <c r="M39" s="214">
        <v>0</v>
      </c>
    </row>
    <row r="40" spans="1:13" x14ac:dyDescent="0.2">
      <c r="A40" s="256" t="s">
        <v>71</v>
      </c>
      <c r="B40" s="241" t="s">
        <v>72</v>
      </c>
      <c r="C40" s="423" t="e">
        <f>MIN(F21,C38)*1.25</f>
        <v>#VALUE!</v>
      </c>
      <c r="E40" s="249"/>
      <c r="F40" s="403">
        <v>966.53</v>
      </c>
      <c r="G40" s="249"/>
    </row>
    <row r="41" spans="1:13" x14ac:dyDescent="0.2">
      <c r="A41" s="224"/>
      <c r="B41" s="225" t="s">
        <v>73</v>
      </c>
      <c r="C41" s="250" t="e">
        <f>IF(C40&lt;=F23,0,IF(C40&lt;=F35,INT((F41*(C40-F23)/10000+F42)*(C40-F23)/10000),IF(C40&lt;=F36,INT((F38*(C40-F35)/10000+F39)*(C40-F35)/10000+F40),IF(C40&lt;=F37,INT(C40*F31-F43),INT(C40*F32-F44)))))</f>
        <v>#VALUE!</v>
      </c>
      <c r="E41" s="249"/>
      <c r="F41" s="403">
        <v>979.18</v>
      </c>
      <c r="G41" s="249"/>
    </row>
    <row r="42" spans="1:13" x14ac:dyDescent="0.2">
      <c r="A42" s="224"/>
      <c r="B42" s="225" t="s">
        <v>72</v>
      </c>
      <c r="C42" s="422" t="e">
        <f>MIN(F21,C38)*0.75</f>
        <v>#VALUE!</v>
      </c>
      <c r="E42" s="249"/>
      <c r="F42" s="396">
        <v>1400</v>
      </c>
      <c r="G42" s="249"/>
    </row>
    <row r="43" spans="1:13" x14ac:dyDescent="0.2">
      <c r="A43" s="224"/>
      <c r="B43" s="225" t="s">
        <v>74</v>
      </c>
      <c r="C43" s="226" t="e">
        <f>IF(C42&lt;=F23,0,IF(C42&lt;=F35,INT((F41*(C42-F23)/10000+F42)*(C42-F23)/10000),IF(C42&lt;F36,INT((F38*(C42-F35)/10000+F39)*(C42-F35)/10000+F40),IF(C42&lt;F37,INT(C42*F31-F43),INT(C42*F32-F44)))))</f>
        <v>#VALUE!</v>
      </c>
      <c r="E43" s="249"/>
      <c r="F43" s="403">
        <v>9972.98</v>
      </c>
      <c r="G43" s="249"/>
    </row>
    <row r="44" spans="1:13" x14ac:dyDescent="0.2">
      <c r="A44" s="224"/>
      <c r="B44" s="225" t="s">
        <v>75</v>
      </c>
      <c r="C44" s="422" t="e">
        <f>(C41-C43)*2</f>
        <v>#VALUE!</v>
      </c>
      <c r="E44" s="282"/>
      <c r="F44" s="403">
        <v>18307.73</v>
      </c>
      <c r="G44" s="282"/>
    </row>
    <row r="45" spans="1:13" x14ac:dyDescent="0.2">
      <c r="A45" s="224"/>
      <c r="B45" s="225" t="s">
        <v>76</v>
      </c>
      <c r="C45" s="422" t="e">
        <f>ROUNDDOWN(MIN(C38,F21)*0.14,0)</f>
        <v>#VALUE!</v>
      </c>
    </row>
    <row r="46" spans="1:13" x14ac:dyDescent="0.2">
      <c r="A46" s="224"/>
      <c r="B46" s="225" t="s">
        <v>70</v>
      </c>
      <c r="C46" s="422" t="e">
        <f>MAX(C44,C45)</f>
        <v>#VALUE!</v>
      </c>
    </row>
    <row r="47" spans="1:13" x14ac:dyDescent="0.2">
      <c r="A47" s="224"/>
      <c r="B47" s="225" t="s">
        <v>70</v>
      </c>
      <c r="C47" s="422" t="e">
        <f>IF(C38&gt;F22,(F22 - F21)*F31 + C46,ROUNDDOWN(MAX(C38-F21,0)*F31+C46,0))</f>
        <v>#VALUE!</v>
      </c>
    </row>
    <row r="48" spans="1:13" x14ac:dyDescent="0.2">
      <c r="A48" s="224"/>
      <c r="B48" s="225" t="s">
        <v>77</v>
      </c>
      <c r="C48" s="422" t="e">
        <f>IF(AND(C38&gt;F20,C38&lt;=F21),C46,0)</f>
        <v>#VALUE!</v>
      </c>
    </row>
    <row r="49" spans="1:3" x14ac:dyDescent="0.2">
      <c r="A49" s="224"/>
      <c r="B49" s="225" t="s">
        <v>70</v>
      </c>
      <c r="C49" s="422">
        <f>ROUNDDOWN(F20*0.14,0)</f>
        <v>1747</v>
      </c>
    </row>
    <row r="50" spans="1:3" x14ac:dyDescent="0.2">
      <c r="A50" s="224"/>
      <c r="B50" s="225" t="s">
        <v>70</v>
      </c>
      <c r="C50" s="422" t="e">
        <f xml:space="preserve"> MIN(ROUNDDOWN(MAX(C38-F20,0)*F31+C49,0),C47)</f>
        <v>#VALUE!</v>
      </c>
    </row>
    <row r="51" spans="1:3" x14ac:dyDescent="0.2">
      <c r="A51" s="224"/>
      <c r="B51" s="225" t="s">
        <v>78</v>
      </c>
      <c r="C51" s="422" t="e">
        <f>ROUNDDOWN(MAX(C38-F22,0)*F32+C50,0)</f>
        <v>#VALUE!</v>
      </c>
    </row>
    <row r="52" spans="1:3" x14ac:dyDescent="0.2">
      <c r="A52" s="224"/>
      <c r="B52" s="225" t="s">
        <v>79</v>
      </c>
      <c r="C52" s="422" t="e">
        <f>ROUNDDOWN(IF(C6&lt;5,C39,C51)*C12,0)</f>
        <v>#VALUE!</v>
      </c>
    </row>
    <row r="53" spans="1:3" x14ac:dyDescent="0.2">
      <c r="A53" s="224"/>
      <c r="B53" s="225" t="s">
        <v>81</v>
      </c>
      <c r="C53" s="422" t="e">
        <f>C52*100</f>
        <v>#VALUE!</v>
      </c>
    </row>
    <row r="54" spans="1:3" x14ac:dyDescent="0.2">
      <c r="A54" s="256" t="s">
        <v>84</v>
      </c>
      <c r="B54" s="241" t="s">
        <v>85</v>
      </c>
      <c r="C54" s="422" t="e">
        <f>IF(C3=1,C53,IF(C3=2,ROUNDDOWN(C53/12,0),IF(C3=3,ROUNDDOWN((C53*7)/360,0),ROUNDDOWN(C53/360,0))))</f>
        <v>#VALUE!</v>
      </c>
    </row>
    <row r="55" spans="1:3" x14ac:dyDescent="0.2">
      <c r="A55" s="224"/>
      <c r="B55" s="225" t="s">
        <v>59</v>
      </c>
      <c r="C55" s="250">
        <f>C27+C28</f>
        <v>1266</v>
      </c>
    </row>
    <row r="56" spans="1:3" x14ac:dyDescent="0.2">
      <c r="A56" s="224"/>
      <c r="B56" s="225" t="s">
        <v>68</v>
      </c>
      <c r="C56" s="250" t="e">
        <f>C20-C36-C55</f>
        <v>#VALUE!</v>
      </c>
    </row>
    <row r="57" spans="1:3" x14ac:dyDescent="0.2">
      <c r="A57" s="224"/>
      <c r="B57" s="225" t="s">
        <v>86</v>
      </c>
      <c r="C57" s="250" t="e">
        <f>IF(C56&lt;36,0,ROUNDDOWN(C56/C23,0))</f>
        <v>#VALUE!</v>
      </c>
    </row>
    <row r="58" spans="1:3" x14ac:dyDescent="0.2">
      <c r="A58" s="224"/>
      <c r="B58" s="225" t="s">
        <v>70</v>
      </c>
      <c r="C58" s="250" t="e">
        <f>IF(C57&lt;=F23,0,IF(C57&lt;=F35,INT((F41*(C57-F23)/10000+F42)*(C57-F23)/10000),IF(C57&lt;=F36,INT((F38*(C57-F35)/10000+F39)*(C57-F35)/10000+F40),IF(C57&lt;F37,INT(C57*F31-F43),INT(C57*F32-F44)))))*C23</f>
        <v>#VALUE!</v>
      </c>
    </row>
    <row r="59" spans="1:3" x14ac:dyDescent="0.2">
      <c r="A59" s="224"/>
      <c r="B59" s="225" t="s">
        <v>87</v>
      </c>
      <c r="C59" s="250" t="e">
        <f>IF(C2&gt;0,ROUNDDOWN(C58*C12,0),C52)</f>
        <v>#VALUE!</v>
      </c>
    </row>
    <row r="60" spans="1:3" x14ac:dyDescent="0.2">
      <c r="A60" s="256" t="s">
        <v>89</v>
      </c>
      <c r="B60" s="241" t="s">
        <v>90</v>
      </c>
      <c r="C60" s="242">
        <f>(F24)*C23</f>
        <v>17543</v>
      </c>
    </row>
    <row r="61" spans="1:3" x14ac:dyDescent="0.2">
      <c r="A61" s="224"/>
      <c r="B61" s="225" t="s">
        <v>91</v>
      </c>
      <c r="C61" s="239" t="e">
        <f>ROUNDDOWN((C59*F33)/100,2)</f>
        <v>#VALUE!</v>
      </c>
    </row>
    <row r="62" spans="1:3" x14ac:dyDescent="0.2">
      <c r="A62" s="224"/>
      <c r="B62" s="225" t="s">
        <v>92</v>
      </c>
      <c r="C62" s="239" t="e">
        <f>((C59-C60)*F34)/100</f>
        <v>#VALUE!</v>
      </c>
    </row>
    <row r="63" spans="1:3" x14ac:dyDescent="0.2">
      <c r="A63" s="224"/>
      <c r="B63" s="225" t="s">
        <v>91</v>
      </c>
      <c r="C63" s="239" t="e">
        <f>MIN(C62,C61)</f>
        <v>#VALUE!</v>
      </c>
    </row>
    <row r="64" spans="1:3" x14ac:dyDescent="0.2">
      <c r="A64" s="224"/>
      <c r="B64" s="225" t="s">
        <v>81</v>
      </c>
      <c r="C64" s="226" t="e">
        <f>C63*100</f>
        <v>#VALUE!</v>
      </c>
    </row>
    <row r="65" spans="1:3" x14ac:dyDescent="0.2">
      <c r="A65" s="256" t="s">
        <v>93</v>
      </c>
      <c r="B65" s="241" t="s">
        <v>94</v>
      </c>
      <c r="C65" s="266" t="e">
        <f>ROUNDDOWN(IF(C3=1,C64,IF(C3=2,C64/12,IF(C3=3,(C64*7)/360,C64/360))),0)</f>
        <v>#VALUE!</v>
      </c>
    </row>
    <row r="66" spans="1:3" x14ac:dyDescent="0.2">
      <c r="A66" s="224"/>
      <c r="B66" s="225" t="s">
        <v>95</v>
      </c>
      <c r="C66" s="250" t="e">
        <f>IF(C59&gt;C60,C65,0)</f>
        <v>#VALUE!</v>
      </c>
    </row>
    <row r="67" spans="1:3" x14ac:dyDescent="0.2">
      <c r="A67" s="224"/>
      <c r="B67" s="225" t="s">
        <v>81</v>
      </c>
      <c r="C67" s="250" t="e">
        <f>C59*100</f>
        <v>#VALUE!</v>
      </c>
    </row>
    <row r="68" spans="1:3" x14ac:dyDescent="0.2">
      <c r="A68" s="283" t="s">
        <v>96</v>
      </c>
      <c r="B68" s="284" t="s">
        <v>96</v>
      </c>
      <c r="C68" s="285" t="e">
        <f>ROUNDDOWN(IF(C3=1,C67,IF(C3=2,C67/12,IF(C3=3,(C67*7)/360,C67/360))),0)</f>
        <v>#VALUE!</v>
      </c>
    </row>
    <row r="69" spans="1:3" x14ac:dyDescent="0.2">
      <c r="A69" s="283" t="s">
        <v>138</v>
      </c>
      <c r="B69" s="284" t="s">
        <v>137</v>
      </c>
      <c r="C69" s="286">
        <f>IF(C3=1,12,IF(C3=2,1,IF(C3=3,84/360,12/360)))</f>
        <v>12</v>
      </c>
    </row>
  </sheetData>
  <mergeCells count="1">
    <mergeCell ref="I1:M1"/>
  </mergeCells>
  <pageMargins left="0.78740157499999996" right="0.78740157499999996" top="0.984251969" bottom="0.984251969" header="0.5" footer="0.5"/>
  <pageSetup paperSize="9" orientation="portrait" horizontalDpi="4294967292" verticalDpi="429496729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0657C80C9EB42A8AE8AF1E32C18B5" ma:contentTypeVersion="17" ma:contentTypeDescription="Ein neues Dokument erstellen." ma:contentTypeScope="" ma:versionID="7266b70c08a81e8a2aed64642cc83b8a">
  <xsd:schema xmlns:xsd="http://www.w3.org/2001/XMLSchema" xmlns:xs="http://www.w3.org/2001/XMLSchema" xmlns:p="http://schemas.microsoft.com/office/2006/metadata/properties" xmlns:ns2="bbb3f655-f267-4a84-b742-532fbc77d0ab" xmlns:ns3="f5f3c0c8-cb47-4a26-91a1-a44bb4539247" targetNamespace="http://schemas.microsoft.com/office/2006/metadata/properties" ma:root="true" ma:fieldsID="1f82d46ad9d5b4341a6c71d652089739" ns2:_="" ns3:_="">
    <xsd:import namespace="bbb3f655-f267-4a84-b742-532fbc77d0ab"/>
    <xsd:import namespace="f5f3c0c8-cb47-4a26-91a1-a44bb4539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f655-f267-4a84-b742-532fbc77d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3c0c8-cb47-4a26-91a1-a44bb4539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bcdc34-3acf-42b1-abfa-b6ef944057a8}" ma:internalName="TaxCatchAll" ma:showField="CatchAllData" ma:web="f5f3c0c8-cb47-4a26-91a1-a44bb4539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3c0c8-cb47-4a26-91a1-a44bb4539247" xsi:nil="true"/>
    <lcf76f155ced4ddcb4097134ff3c332f xmlns="bbb3f655-f267-4a84-b742-532fbc77d0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DD8DE4-9C64-4FD2-A569-A535A5305F77}"/>
</file>

<file path=customXml/itemProps2.xml><?xml version="1.0" encoding="utf-8"?>
<ds:datastoreItem xmlns:ds="http://schemas.openxmlformats.org/officeDocument/2006/customXml" ds:itemID="{F5810345-AF73-44A1-BE10-29B3269F29C0}"/>
</file>

<file path=customXml/itemProps3.xml><?xml version="1.0" encoding="utf-8"?>
<ds:datastoreItem xmlns:ds="http://schemas.openxmlformats.org/officeDocument/2006/customXml" ds:itemID="{815D7C38-18AC-4F8A-9401-C84F0E8E2A3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17</vt:i4>
      </vt:variant>
    </vt:vector>
  </HeadingPairs>
  <TitlesOfParts>
    <vt:vector size="31" baseType="lpstr">
      <vt:lpstr>Startseite</vt:lpstr>
      <vt:lpstr>Eingaben</vt:lpstr>
      <vt:lpstr>Berechnung</vt:lpstr>
      <vt:lpstr>Beispiel</vt:lpstr>
      <vt:lpstr>Parameter_Intern</vt:lpstr>
      <vt:lpstr>Hilfe</vt:lpstr>
      <vt:lpstr>LSTBerechnung2023_07</vt:lpstr>
      <vt:lpstr>Berechnung_Alt</vt:lpstr>
      <vt:lpstr>LSTBerechnung2023</vt:lpstr>
      <vt:lpstr>Berechnung_Gleitzone</vt:lpstr>
      <vt:lpstr>LSTBerechnung2021</vt:lpstr>
      <vt:lpstr>LSTBerechnung2020</vt:lpstr>
      <vt:lpstr>LSTBerechnung2015</vt:lpstr>
      <vt:lpstr>LSTBerechnung2014</vt:lpstr>
      <vt:lpstr>LSTBerechnung2020!BearbJahr</vt:lpstr>
      <vt:lpstr>LSTBerechnung2021!BearbJahr</vt:lpstr>
      <vt:lpstr>LSTBerechnung2023!BearbJahr</vt:lpstr>
      <vt:lpstr>LSTBerechnung2023_07!BearbJahr</vt:lpstr>
      <vt:lpstr>BeispielB3</vt:lpstr>
      <vt:lpstr>Berechnung_Alt!BerechnungB3</vt:lpstr>
      <vt:lpstr>BerechnungB3</vt:lpstr>
      <vt:lpstr>Beispiel!Druckbereich</vt:lpstr>
      <vt:lpstr>Berechnung!Druckbereich</vt:lpstr>
      <vt:lpstr>Berechnung_Alt!Druckbereich</vt:lpstr>
      <vt:lpstr>Eingaben!Druckbereich</vt:lpstr>
      <vt:lpstr>Hilfe!Druckbereich</vt:lpstr>
      <vt:lpstr>Startseite!Druckbereich</vt:lpstr>
      <vt:lpstr>HilfeB3</vt:lpstr>
      <vt:lpstr>Startseite!StartG10</vt:lpstr>
      <vt:lpstr>Startseite!Startseite</vt:lpstr>
      <vt:lpstr>StartseiteB5</vt:lpstr>
    </vt:vector>
  </TitlesOfParts>
  <Company>VNR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Bewerber-Beurteilungsbogen</dc:title>
  <dc:creator>Michael Konetzny</dc:creator>
  <cp:keywords>Bewerber-Beurteilungsbogen Tools</cp:keywords>
  <cp:lastModifiedBy>Konetzny, Michael</cp:lastModifiedBy>
  <cp:lastPrinted>2023-02-14T15:00:51Z</cp:lastPrinted>
  <dcterms:created xsi:type="dcterms:W3CDTF">2009-01-31T13:41:13Z</dcterms:created>
  <dcterms:modified xsi:type="dcterms:W3CDTF">2023-07-05T11:34:16Z</dcterms:modified>
  <cp:category>Tools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Kostenvergleich_PEO.xls</vt:lpwstr>
  </property>
  <property fmtid="{D5CDD505-2E9C-101B-9397-08002B2CF9AE}" pid="5" name="Jet Reports Design Mode Active">
    <vt:bool>true</vt:bool>
  </property>
  <property fmtid="{D5CDD505-2E9C-101B-9397-08002B2CF9AE}" pid="6" name="ContentTypeId">
    <vt:lpwstr>0x010100E9C0657C80C9EB42A8AE8AF1E32C18B5</vt:lpwstr>
  </property>
</Properties>
</file>