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codeName="{DC747B9D-DBBB-FA85-71B4-595EBAB97821}"/>
  <workbookPr codeName="DieseArbeitsmappe" defaultThemeVersion="124226"/>
  <mc:AlternateContent xmlns:mc="http://schemas.openxmlformats.org/markup-compatibility/2006">
    <mc:Choice Requires="x15">
      <x15ac:absPath xmlns:x15ac="http://schemas.microsoft.com/office/spreadsheetml/2010/11/ac" url="D:\_An Gericom\_SyncStick\______02 - VNR Updates\24 - Rechner in Arbeit\023 - Dienstwagenrechner - AG\"/>
    </mc:Choice>
  </mc:AlternateContent>
  <xr:revisionPtr revIDLastSave="0" documentId="13_ncr:1_{D248445C-B97B-4160-8659-CAD5567F6968}" xr6:coauthVersionLast="47" xr6:coauthVersionMax="47" xr10:uidLastSave="{00000000-0000-0000-0000-000000000000}"/>
  <bookViews>
    <workbookView xWindow="144" yWindow="192" windowWidth="22704" windowHeight="11856" tabRatio="611" xr2:uid="{00000000-000D-0000-FFFF-FFFF00000000}"/>
  </bookViews>
  <sheets>
    <sheet name="Startseite" sheetId="26" r:id="rId1"/>
    <sheet name="Eingaben" sheetId="25" r:id="rId2"/>
    <sheet name="Berechnung" sheetId="24" r:id="rId3"/>
    <sheet name="Beispiel" sheetId="29" r:id="rId4"/>
    <sheet name="Hilfe" sheetId="5" r:id="rId5"/>
    <sheet name="Rechengrößen" sheetId="23" state="hidden" r:id="rId6"/>
    <sheet name="Parameter_Intern" sheetId="27" state="hidden" r:id="rId7"/>
    <sheet name="__Goal_Metadata" sheetId="30" state="veryHidden" r:id="rId8"/>
  </sheets>
  <definedNames>
    <definedName name="_KAW999929" hidden="1">__Goal_Metadata!$B$2</definedName>
    <definedName name="_KAW999934" hidden="1">__Goal_Metadata!$B$1</definedName>
    <definedName name="BeispielB3">Beispiel!$B$3</definedName>
    <definedName name="BerechnungB3">Berechnung!$B$3</definedName>
    <definedName name="_xlnm.Print_Area" localSheetId="3">Beispiel!$B$3:$Z$50</definedName>
    <definedName name="_xlnm.Print_Area" localSheetId="2">Berechnung!$B$3:$P$63</definedName>
    <definedName name="_xlnm.Print_Area" localSheetId="1">Eingaben!$B$3:$J$50</definedName>
    <definedName name="_xlnm.Print_Area" localSheetId="4">Hilfe!$B$3:$F$13</definedName>
    <definedName name="_xlnm.Print_Area" localSheetId="5">Rechengrößen!$B$3:$K$30</definedName>
    <definedName name="_xlnm.Print_Area" localSheetId="0">Startseite!$B$2:$J$19</definedName>
    <definedName name="EingabenB3">Eingaben!$B$3</definedName>
    <definedName name="HilfeB3">Hilfe!$B$3</definedName>
    <definedName name="HinweiseB3" localSheetId="0">#REF!</definedName>
    <definedName name="HinweiseB3">#REF!</definedName>
    <definedName name="StartG10" localSheetId="0">Startseite!$H$10</definedName>
    <definedName name="StartG10">#REF!</definedName>
    <definedName name="Startseite" localSheetId="0">Startseite!$B$5</definedName>
    <definedName name="Startseite">#REF!</definedName>
    <definedName name="StartseiteB5">Startseite!$B$5</definedName>
    <definedName name="StartseiteG10">#REF!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 i="23" l="1"/>
  <c r="F15" i="23"/>
  <c r="E14" i="23"/>
  <c r="F14" i="23"/>
  <c r="Q27" i="23"/>
  <c r="Q26" i="23"/>
  <c r="Q20" i="23"/>
  <c r="Q19" i="23"/>
  <c r="C48" i="29" l="1"/>
  <c r="I47" i="29"/>
  <c r="H47" i="29"/>
  <c r="H13" i="29"/>
  <c r="C8" i="24" l="1"/>
  <c r="V32" i="24"/>
  <c r="V31" i="24"/>
  <c r="G29" i="24"/>
  <c r="U31" i="24" s="1"/>
  <c r="R31" i="25"/>
  <c r="Q33" i="25"/>
  <c r="U25" i="24" s="1"/>
  <c r="U29" i="24" l="1"/>
  <c r="U32" i="24"/>
  <c r="C49" i="25"/>
  <c r="C48" i="25"/>
  <c r="AB8" i="24" l="1"/>
  <c r="AB13" i="24"/>
  <c r="AB12" i="24"/>
  <c r="AB11" i="24"/>
  <c r="T25" i="24"/>
  <c r="Q24" i="25"/>
  <c r="N5" i="23" l="1"/>
  <c r="H13" i="25"/>
  <c r="G8" i="24"/>
  <c r="Q11" i="29"/>
  <c r="P7" i="29"/>
  <c r="P16" i="29" s="1"/>
  <c r="Q26" i="29"/>
  <c r="G11" i="26"/>
  <c r="M11" i="26"/>
  <c r="N11" i="26"/>
  <c r="H17" i="26"/>
  <c r="D17" i="26" s="1"/>
  <c r="P7" i="25"/>
  <c r="P16" i="25" s="1"/>
  <c r="T17" i="24" s="1"/>
  <c r="T27" i="24"/>
  <c r="Q26" i="25"/>
  <c r="T7" i="24"/>
  <c r="I47" i="25"/>
  <c r="H38" i="24"/>
  <c r="K45" i="24" s="1"/>
  <c r="G34" i="24"/>
  <c r="G33" i="24"/>
  <c r="G25" i="24"/>
  <c r="O23" i="24" s="1"/>
  <c r="G24" i="24"/>
  <c r="O22" i="24" s="1"/>
  <c r="G23" i="24"/>
  <c r="O21" i="24" s="1"/>
  <c r="G22" i="24"/>
  <c r="O20" i="24" s="1"/>
  <c r="G21" i="24"/>
  <c r="O19" i="24" s="1"/>
  <c r="G19" i="24"/>
  <c r="G18" i="24"/>
  <c r="G17" i="24"/>
  <c r="G16" i="24"/>
  <c r="O17" i="24" s="1"/>
  <c r="G11" i="24"/>
  <c r="G10" i="24"/>
  <c r="Q8" i="25"/>
  <c r="R8" i="25"/>
  <c r="Q9" i="25"/>
  <c r="R9" i="25"/>
  <c r="Q10" i="25"/>
  <c r="R10" i="25"/>
  <c r="Q11" i="25"/>
  <c r="R11" i="25"/>
  <c r="Q12" i="25"/>
  <c r="T12" i="25" s="1"/>
  <c r="P15" i="25"/>
  <c r="R17" i="25" s="1"/>
  <c r="R22" i="25" s="1"/>
  <c r="H47" i="25"/>
  <c r="L40" i="24"/>
  <c r="K39" i="24"/>
  <c r="K38" i="24"/>
  <c r="N40" i="24"/>
  <c r="T16" i="24" l="1"/>
  <c r="P5" i="23"/>
  <c r="F12" i="23" s="1"/>
  <c r="H12" i="23" s="1"/>
  <c r="R5" i="23"/>
  <c r="C33" i="29"/>
  <c r="C32" i="29"/>
  <c r="C29" i="29"/>
  <c r="G12" i="24"/>
  <c r="G14" i="24" s="1"/>
  <c r="O30" i="24" s="1"/>
  <c r="T8" i="24"/>
  <c r="C32" i="25"/>
  <c r="U27" i="24"/>
  <c r="C33" i="25"/>
  <c r="M12" i="26"/>
  <c r="P15" i="29"/>
  <c r="Q21" i="29" s="1"/>
  <c r="Q22" i="29" s="1"/>
  <c r="R9" i="29"/>
  <c r="R8" i="29"/>
  <c r="D46" i="24"/>
  <c r="U11" i="24"/>
  <c r="U10" i="24"/>
  <c r="V12" i="24"/>
  <c r="C29" i="25"/>
  <c r="R17" i="29"/>
  <c r="R20" i="29" s="1"/>
  <c r="Q12" i="29"/>
  <c r="T12" i="29" s="1"/>
  <c r="U13" i="24"/>
  <c r="X13" i="24" s="1"/>
  <c r="U22" i="24"/>
  <c r="U23" i="24" s="1"/>
  <c r="E46" i="24"/>
  <c r="M39" i="24" s="1"/>
  <c r="E45" i="24"/>
  <c r="K31" i="24"/>
  <c r="V10" i="24"/>
  <c r="U12" i="24"/>
  <c r="V9" i="24"/>
  <c r="Q21" i="25"/>
  <c r="Q22" i="25" s="1"/>
  <c r="O18" i="24"/>
  <c r="O25" i="24" s="1"/>
  <c r="Q9" i="29"/>
  <c r="R10" i="29"/>
  <c r="D45" i="24"/>
  <c r="V11" i="24"/>
  <c r="U9" i="24"/>
  <c r="Q8" i="29"/>
  <c r="R11" i="29"/>
  <c r="E26" i="23"/>
  <c r="W18" i="24" s="1"/>
  <c r="R21" i="25"/>
  <c r="V18" i="24"/>
  <c r="H55" i="24"/>
  <c r="R19" i="25"/>
  <c r="R18" i="25"/>
  <c r="Q10" i="29"/>
  <c r="R20" i="25"/>
  <c r="C43" i="24"/>
  <c r="O31" i="24" l="1"/>
  <c r="E13" i="23"/>
  <c r="S10" i="25" s="1"/>
  <c r="T10" i="25" s="1"/>
  <c r="C34" i="24"/>
  <c r="C29" i="24"/>
  <c r="E11" i="23"/>
  <c r="S8" i="25" s="1"/>
  <c r="T8" i="25" s="1"/>
  <c r="Q46" i="25" s="1"/>
  <c r="Q47" i="25" s="1"/>
  <c r="C33" i="24"/>
  <c r="E23" i="23"/>
  <c r="W22" i="24" s="1"/>
  <c r="C31" i="24"/>
  <c r="G15" i="23"/>
  <c r="E12" i="23"/>
  <c r="S9" i="25" s="1"/>
  <c r="T9" i="25" s="1"/>
  <c r="O9" i="23"/>
  <c r="E19" i="23"/>
  <c r="W20" i="24" s="1"/>
  <c r="S11" i="25"/>
  <c r="T11" i="25" s="1"/>
  <c r="E20" i="23"/>
  <c r="W19" i="24" s="1"/>
  <c r="H15" i="23"/>
  <c r="E27" i="23"/>
  <c r="E22" i="23"/>
  <c r="W23" i="24" s="1"/>
  <c r="E24" i="23"/>
  <c r="F11" i="23"/>
  <c r="H11" i="23" s="1"/>
  <c r="H14" i="23"/>
  <c r="F13" i="23"/>
  <c r="H13" i="23" s="1"/>
  <c r="R18" i="29"/>
  <c r="R19" i="29"/>
  <c r="B3" i="23"/>
  <c r="R22" i="29"/>
  <c r="R21" i="29"/>
  <c r="O29" i="24"/>
  <c r="E44" i="24"/>
  <c r="E47" i="24"/>
  <c r="G44" i="24"/>
  <c r="G47" i="24"/>
  <c r="M38" i="24"/>
  <c r="S9" i="29"/>
  <c r="T9" i="29" s="1"/>
  <c r="S17" i="29"/>
  <c r="S17" i="25"/>
  <c r="T17" i="25" s="1"/>
  <c r="V20" i="24"/>
  <c r="V23" i="24"/>
  <c r="X18" i="24"/>
  <c r="V21" i="24"/>
  <c r="V22" i="24"/>
  <c r="V19" i="24"/>
  <c r="M55" i="24"/>
  <c r="H57" i="24"/>
  <c r="M56" i="24" s="1"/>
  <c r="W11" i="24" l="1"/>
  <c r="X11" i="24" s="1"/>
  <c r="V47" i="24" s="1"/>
  <c r="W9" i="24"/>
  <c r="X9" i="24" s="1"/>
  <c r="V44" i="24" s="1"/>
  <c r="V45" i="24" s="1"/>
  <c r="G13" i="23"/>
  <c r="R46" i="25"/>
  <c r="R47" i="25" s="1"/>
  <c r="G11" i="23"/>
  <c r="G14" i="23"/>
  <c r="W12" i="24"/>
  <c r="X12" i="24" s="1"/>
  <c r="V48" i="24" s="1"/>
  <c r="G12" i="23"/>
  <c r="W21" i="24"/>
  <c r="X21" i="24" s="1"/>
  <c r="W10" i="24"/>
  <c r="X10" i="24" s="1"/>
  <c r="S22" i="29"/>
  <c r="T22" i="29" s="1"/>
  <c r="S10" i="29"/>
  <c r="T10" i="29" s="1"/>
  <c r="S8" i="29"/>
  <c r="T8" i="29" s="1"/>
  <c r="Q46" i="29" s="1"/>
  <c r="Q47" i="29" s="1"/>
  <c r="S11" i="29"/>
  <c r="T11" i="29" s="1"/>
  <c r="O33" i="24"/>
  <c r="H39" i="24" s="1"/>
  <c r="H40" i="24" s="1"/>
  <c r="K46" i="24" s="1"/>
  <c r="X22" i="24"/>
  <c r="G48" i="24" s="1"/>
  <c r="O41" i="24" s="1"/>
  <c r="S20" i="29"/>
  <c r="T20" i="29" s="1"/>
  <c r="S21" i="25"/>
  <c r="T21" i="25" s="1"/>
  <c r="S18" i="25"/>
  <c r="T18" i="25" s="1"/>
  <c r="S19" i="25"/>
  <c r="T19" i="25" s="1"/>
  <c r="T17" i="29"/>
  <c r="S22" i="25"/>
  <c r="T22" i="25" s="1"/>
  <c r="S18" i="29"/>
  <c r="T18" i="29" s="1"/>
  <c r="S19" i="29"/>
  <c r="T19" i="29" s="1"/>
  <c r="S21" i="29"/>
  <c r="T21" i="29" s="1"/>
  <c r="X23" i="24"/>
  <c r="S20" i="25"/>
  <c r="T20" i="25" s="1"/>
  <c r="X20" i="24"/>
  <c r="X19" i="24"/>
  <c r="G45" i="24" s="1"/>
  <c r="O38" i="24" l="1"/>
  <c r="N38" i="24"/>
  <c r="G46" i="24"/>
  <c r="N39" i="24" s="1"/>
  <c r="R46" i="29"/>
  <c r="R47" i="29" s="1"/>
  <c r="N42" i="24"/>
  <c r="G49" i="24"/>
  <c r="O42" i="24" s="1"/>
  <c r="U47" i="24"/>
  <c r="H48" i="24" s="1"/>
  <c r="U48" i="24"/>
  <c r="U44" i="24"/>
  <c r="U45" i="24" s="1"/>
  <c r="N41" i="24"/>
  <c r="O39" i="24" l="1"/>
  <c r="H46" i="24"/>
  <c r="O45" i="24"/>
  <c r="H45" i="24"/>
  <c r="H49" i="24"/>
  <c r="O46" i="24" l="1"/>
  <c r="O49" i="24" s="1"/>
  <c r="H59" i="24" s="1"/>
  <c r="M57" i="24" s="1"/>
  <c r="H61" i="24" l="1"/>
  <c r="K49" i="24"/>
</calcChain>
</file>

<file path=xl/sharedStrings.xml><?xml version="1.0" encoding="utf-8"?>
<sst xmlns="http://schemas.openxmlformats.org/spreadsheetml/2006/main" count="268" uniqueCount="120">
  <si>
    <t>Jahr</t>
  </si>
  <si>
    <t>Allgemeine Hinweise</t>
  </si>
  <si>
    <t>Sozialversicherung</t>
  </si>
  <si>
    <t>Beitragsbemessungsgrenzen</t>
  </si>
  <si>
    <t>Monat</t>
  </si>
  <si>
    <t>West</t>
  </si>
  <si>
    <t>Ost</t>
  </si>
  <si>
    <t>Krankenversicherung</t>
  </si>
  <si>
    <t>Pflegeversicherung</t>
  </si>
  <si>
    <t>Rentenversicherung</t>
  </si>
  <si>
    <t>Arbeitslosenversicherung</t>
  </si>
  <si>
    <t>Knappschaft</t>
  </si>
  <si>
    <t>Beitragssätze</t>
  </si>
  <si>
    <t>Zuschlag für Kinderlose</t>
  </si>
  <si>
    <t>=</t>
  </si>
  <si>
    <t>Privat</t>
  </si>
  <si>
    <t>Knapp</t>
  </si>
  <si>
    <t>Gesetzlich</t>
  </si>
  <si>
    <t>Rechengrößen</t>
  </si>
  <si>
    <t>Wahl</t>
  </si>
  <si>
    <t>Zuschlag Kinderlose</t>
  </si>
  <si>
    <t>Gesamtkosten</t>
  </si>
  <si>
    <t>Krankenversicherung Sonderbeitrag</t>
  </si>
  <si>
    <t>AG-Anteil Rentenv.</t>
  </si>
  <si>
    <t>AG-Anteil Arbeitsl.-Vers.</t>
  </si>
  <si>
    <t>Angaben zum Fahrzeug</t>
  </si>
  <si>
    <t>Fahrzeug</t>
  </si>
  <si>
    <t>Audi A4</t>
  </si>
  <si>
    <t>Bruttolistenpreis inkl. USt</t>
  </si>
  <si>
    <t>Sonderausstattung</t>
  </si>
  <si>
    <t>Korrigierter Bruttolistenpreis inkl. USt</t>
  </si>
  <si>
    <t>Monatliche Leasingrate</t>
  </si>
  <si>
    <t>Laufleistung / Jahr (km)</t>
  </si>
  <si>
    <t>Verbrauch / 100 km</t>
  </si>
  <si>
    <t>Preis je Liter Treibstoff</t>
  </si>
  <si>
    <t>Kfz-Steuer</t>
  </si>
  <si>
    <t>Inspektion, Reparaturen p.a</t>
  </si>
  <si>
    <t>Verschleiß (Reifen etc.)</t>
  </si>
  <si>
    <t>Kfz-Versicherung</t>
  </si>
  <si>
    <t>Sonstige Kosten / Jahr</t>
  </si>
  <si>
    <t>Leasingrate</t>
  </si>
  <si>
    <t>Treibstoff</t>
  </si>
  <si>
    <t>Summe relevante Kfz-Kosten</t>
  </si>
  <si>
    <t>Ermittlung des geldwerten Vorteils</t>
  </si>
  <si>
    <t>Angaben zur Ermittlung des geldwerten Vorteils</t>
  </si>
  <si>
    <t>Geldwerter Vorteil</t>
  </si>
  <si>
    <t>Programmparameter</t>
  </si>
  <si>
    <t>Pauschalversteuerung mit</t>
  </si>
  <si>
    <t>Ansatz für Fahrten Wohnung/Arbeit</t>
  </si>
  <si>
    <t>Ansatz für Familienheimfahrten</t>
  </si>
  <si>
    <t>Entfernungspauschale</t>
  </si>
  <si>
    <t>Geldwerter Vorteil - Erhöhung Brutto</t>
  </si>
  <si>
    <t>Ermittlung der Sozialversicherungsbeträge</t>
  </si>
  <si>
    <t>Ermittlung der Mehrkosten für Sozialversicherung</t>
  </si>
  <si>
    <t>+</t>
  </si>
  <si>
    <t>Ermittlung der Gesamtkosten für die Bereitstellung eines Dienstwagens</t>
  </si>
  <si>
    <t>Mehrkosten für Sozialversicherung</t>
  </si>
  <si>
    <t>Laufende Kfz-Kosten</t>
  </si>
  <si>
    <t>Leasing</t>
  </si>
  <si>
    <t>Sozialvers.</t>
  </si>
  <si>
    <t>Kfz-Kosten</t>
  </si>
  <si>
    <t>Ermittlung der Fahrzeugkosten / Jahr</t>
  </si>
  <si>
    <t>Bruttoverdienst bisher</t>
  </si>
  <si>
    <t>Neu zu versteuerndes Bruttogehalt</t>
  </si>
  <si>
    <t>Jährliche Kosten für die Leasingraten</t>
  </si>
  <si>
    <t>Alte Bundesländer</t>
  </si>
  <si>
    <t>Eingaben zum Fahrzeug</t>
  </si>
  <si>
    <t>Firmenwagenrechner - Arbeitgeberkosten bei Privatnutzung
- Eingaben -</t>
  </si>
  <si>
    <t>Jahr der Berechnung (für Berechnung der Sozialversicherungsbeiträge)</t>
  </si>
  <si>
    <t>Eingaben zur Ermittlung des geldwerten Vorteils</t>
  </si>
  <si>
    <t>Eingaben zur Berechnugn der Sozialversicherungsbeträge</t>
  </si>
  <si>
    <t>Firmenwagenrechner - Arbeitgeberkosten bei Privatnutzung
- Berechnung -</t>
  </si>
  <si>
    <t>Firmenwagenrechner - Arbeitgeberkosten bei Privatnutzung
- Hinweise -</t>
  </si>
  <si>
    <t>Startseite</t>
  </si>
  <si>
    <t>Tabellenblätter</t>
  </si>
  <si>
    <t>Tabellenblatt</t>
  </si>
  <si>
    <t>Info</t>
  </si>
  <si>
    <t>© BWRmed!a, ein Unternehmensbereich der VNR Verlag für die Deutsche Wirtschaft AG - HRexperten24.de</t>
  </si>
  <si>
    <t>Die Vervielfältigung, Verbreitung oder Veräußerung der Daten oder Texte ist unzulässig und</t>
  </si>
  <si>
    <t>ausdrücklich nur mit Genehmigung des Verlags gestattet.</t>
  </si>
  <si>
    <t>Nr</t>
  </si>
  <si>
    <t>Hinweise</t>
  </si>
  <si>
    <t>Hyperlink</t>
  </si>
  <si>
    <t>Eingaben</t>
  </si>
  <si>
    <t>#Eingaben!B3</t>
  </si>
  <si>
    <t>Beispiel</t>
  </si>
  <si>
    <t>Hier finden Sie ein Beispiel für die Eingaben</t>
  </si>
  <si>
    <t>#Beispiel!B3</t>
  </si>
  <si>
    <t>Berechnung</t>
  </si>
  <si>
    <t>#Berechnung!B3</t>
  </si>
  <si>
    <t>Hilfe</t>
  </si>
  <si>
    <t>Hier finden Sie nähere Informationen über die Anwendung.</t>
  </si>
  <si>
    <t>#Hilfe!B3</t>
  </si>
  <si>
    <t>&lt;&lt; Startseite</t>
  </si>
  <si>
    <t>Hilfe?</t>
  </si>
  <si>
    <t>Firmenwagenrechner - Arbeitgeberkosten bei Privatnutzung</t>
  </si>
  <si>
    <t>Hinweise zum Firmenwagenrechner</t>
  </si>
  <si>
    <t>Firmenwagenrechner - Arbeitgeberkosten bei Privatnutzung
- Beispiel -</t>
  </si>
  <si>
    <t>Hier geben Sie die Daten für den Firmenwagenrechner ein</t>
  </si>
  <si>
    <t>Hier kommen Sie direkt zu den Berechnungsergebnissen</t>
  </si>
  <si>
    <t>Insolvenzgeldumlage</t>
  </si>
  <si>
    <t>_KAW999934</t>
  </si>
  <si>
    <t>J</t>
  </si>
  <si>
    <t>_KAW999929</t>
  </si>
  <si>
    <t>ae71bcf0-ef7f-449d-816a-e0e542cdad53</t>
  </si>
  <si>
    <t xml:space="preserve">  Steuerliche Förderung</t>
  </si>
  <si>
    <t xml:space="preserve">  Doppelter Haushalt</t>
  </si>
  <si>
    <t xml:space="preserve"> Doppelter Haushalt</t>
  </si>
  <si>
    <t>Ansatz Bruttolistenverkaufpreis</t>
  </si>
  <si>
    <t>Normaler PKW - 100%</t>
  </si>
  <si>
    <t>E-PKW - 50%</t>
  </si>
  <si>
    <t>E-PKW - 25%</t>
  </si>
  <si>
    <t>Ansatz Bruttolistenverkaufspreis</t>
  </si>
  <si>
    <t>Steuerliche Förderung</t>
  </si>
  <si>
    <t>Kilometerpauschale 1 - bis 20 km</t>
  </si>
  <si>
    <t>Kilometerpauschale 2 - über 20 km</t>
  </si>
  <si>
    <t>Berechnung Entfernungspauschale</t>
  </si>
  <si>
    <t>Zusatzbeitrag</t>
  </si>
  <si>
    <t>Krankenversicherung Zusatzbeitrag</t>
  </si>
  <si>
    <t>© 2025 by mediaforwork - ein Unternehmensbereich der Verlag für die Deutsche Wirtschaft 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</si>
</sst>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 #,##0.00\ &quot;€&quot;_-;\-* #,##0.00\ &quot;€&quot;_-;_-* &quot;-&quot;??\ &quot;€&quot;_-;_-@_-"/>
    <numFmt numFmtId="164" formatCode="#,##0.00\ &quot;€&quot;"/>
    <numFmt numFmtId="165" formatCode="0.000%"/>
    <numFmt numFmtId="166" formatCode="0.0000%"/>
    <numFmt numFmtId="167" formatCode="#,##0\ &quot;km&quot;"/>
    <numFmt numFmtId="168" formatCode="#,##0\ &quot;€&quot;"/>
    <numFmt numFmtId="169" formatCode="#,##0.00\ &quot;L/km&quot;"/>
    <numFmt numFmtId="170" formatCode="#,##0.00\ &quot;€/L&quot;"/>
  </numFmts>
  <fonts count="39" x14ac:knownFonts="1">
    <font>
      <sz val="10"/>
      <name val="Arial"/>
    </font>
    <font>
      <sz val="10"/>
      <name val="Arial"/>
      <family val="2"/>
    </font>
    <font>
      <b/>
      <sz val="10"/>
      <name val="Arial"/>
      <family val="2"/>
    </font>
    <font>
      <sz val="10"/>
      <name val="Arial"/>
      <family val="2"/>
    </font>
    <font>
      <sz val="9"/>
      <color indexed="8"/>
      <name val="Arial"/>
      <family val="2"/>
    </font>
    <font>
      <sz val="8"/>
      <name val="Arial"/>
      <family val="2"/>
    </font>
    <font>
      <b/>
      <sz val="10"/>
      <color indexed="9"/>
      <name val="Arial"/>
      <family val="2"/>
    </font>
    <font>
      <sz val="10"/>
      <color indexed="9"/>
      <name val="Arial"/>
      <family val="2"/>
    </font>
    <font>
      <sz val="10"/>
      <color indexed="8"/>
      <name val="Arial"/>
      <family val="2"/>
    </font>
    <font>
      <b/>
      <sz val="10"/>
      <color indexed="63"/>
      <name val="Arial"/>
      <family val="2"/>
    </font>
    <font>
      <b/>
      <sz val="10"/>
      <color indexed="52"/>
      <name val="Arial"/>
      <family val="2"/>
    </font>
    <font>
      <sz val="10"/>
      <color indexed="62"/>
      <name val="Arial"/>
      <family val="2"/>
    </font>
    <font>
      <b/>
      <sz val="10"/>
      <color indexed="8"/>
      <name val="Arial"/>
      <family val="2"/>
    </font>
    <font>
      <i/>
      <sz val="10"/>
      <color indexed="23"/>
      <name val="Arial"/>
      <family val="2"/>
    </font>
    <font>
      <sz val="10"/>
      <color indexed="17"/>
      <name val="Arial"/>
      <family val="2"/>
    </font>
    <font>
      <sz val="10"/>
      <color indexed="60"/>
      <name val="Arial"/>
      <family val="2"/>
    </font>
    <font>
      <sz val="10"/>
      <color indexed="20"/>
      <name val="Arial"/>
      <family val="2"/>
    </font>
    <font>
      <b/>
      <sz val="18"/>
      <color indexed="56"/>
      <name val="Cambria"/>
      <family val="2"/>
    </font>
    <font>
      <b/>
      <sz val="15"/>
      <color indexed="56"/>
      <name val="Arial"/>
      <family val="2"/>
    </font>
    <font>
      <b/>
      <sz val="13"/>
      <color indexed="56"/>
      <name val="Arial"/>
      <family val="2"/>
    </font>
    <font>
      <b/>
      <sz val="11"/>
      <color indexed="56"/>
      <name val="Arial"/>
      <family val="2"/>
    </font>
    <font>
      <sz val="10"/>
      <color indexed="52"/>
      <name val="Arial"/>
      <family val="2"/>
    </font>
    <font>
      <sz val="10"/>
      <color indexed="10"/>
      <name val="Arial"/>
      <family val="2"/>
    </font>
    <font>
      <b/>
      <sz val="13"/>
      <color indexed="9"/>
      <name val="Arial"/>
      <family val="2"/>
    </font>
    <font>
      <b/>
      <sz val="10"/>
      <color indexed="51"/>
      <name val="Wingdings"/>
      <charset val="2"/>
    </font>
    <font>
      <b/>
      <sz val="10"/>
      <color indexed="51"/>
      <name val="Arial"/>
      <family val="2"/>
    </font>
    <font>
      <sz val="10"/>
      <color indexed="9"/>
      <name val="Arial"/>
      <family val="2"/>
    </font>
    <font>
      <b/>
      <sz val="14"/>
      <name val="Arial"/>
      <family val="2"/>
    </font>
    <font>
      <b/>
      <sz val="10"/>
      <color indexed="51"/>
      <name val="Arial"/>
      <family val="2"/>
    </font>
    <font>
      <b/>
      <sz val="12"/>
      <color indexed="9"/>
      <name val="Arial"/>
      <family val="2"/>
    </font>
    <font>
      <b/>
      <sz val="14"/>
      <color indexed="9"/>
      <name val="Arial"/>
      <family val="2"/>
    </font>
    <font>
      <b/>
      <sz val="10"/>
      <name val="Arial"/>
      <family val="2"/>
    </font>
    <font>
      <vertAlign val="superscript"/>
      <sz val="10"/>
      <name val="Arial"/>
      <family val="2"/>
    </font>
    <font>
      <sz val="11"/>
      <color indexed="12"/>
      <name val="Verdana"/>
      <family val="2"/>
    </font>
    <font>
      <u/>
      <sz val="10"/>
      <color indexed="12"/>
      <name val="Arial"/>
      <family val="2"/>
    </font>
    <font>
      <sz val="8"/>
      <name val="Arial"/>
      <family val="2"/>
    </font>
    <font>
      <b/>
      <sz val="10"/>
      <name val="Wingdings"/>
      <charset val="2"/>
    </font>
    <font>
      <u/>
      <sz val="10"/>
      <color indexed="12"/>
      <name val="Arial"/>
      <family val="2"/>
    </font>
    <font>
      <sz val="8"/>
      <color rgb="FF000000"/>
      <name val="Tahoma"/>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51"/>
        <bgColor indexed="64"/>
      </patternFill>
    </fill>
    <fill>
      <patternFill patternType="solid">
        <fgColor indexed="9"/>
        <bgColor indexed="64"/>
      </patternFill>
    </fill>
    <fill>
      <patternFill patternType="solid">
        <fgColor indexed="47"/>
        <bgColor indexed="64"/>
      </patternFill>
    </fill>
    <fill>
      <patternFill patternType="solid">
        <fgColor indexed="60"/>
        <bgColor indexed="64"/>
      </patternFill>
    </fill>
    <fill>
      <patternFill patternType="solid">
        <fgColor indexed="52"/>
        <bgColor indexed="64"/>
      </patternFill>
    </fill>
    <fill>
      <patternFill patternType="solid">
        <fgColor indexed="53"/>
        <bgColor indexed="64"/>
      </patternFill>
    </fill>
  </fills>
  <borders count="7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medium">
        <color indexed="64"/>
      </left>
      <right/>
      <top style="medium">
        <color indexed="64"/>
      </top>
      <bottom style="medium">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diagonal/>
    </border>
    <border>
      <left/>
      <right/>
      <top/>
      <bottom style="hair">
        <color indexed="64"/>
      </bottom>
      <diagonal/>
    </border>
    <border>
      <left/>
      <right/>
      <top style="thin">
        <color indexed="64"/>
      </top>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s>
  <cellStyleXfs count="72">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9" fillId="20" borderId="1" applyNumberFormat="0" applyAlignment="0" applyProtection="0"/>
    <xf numFmtId="0" fontId="9" fillId="20" borderId="1" applyNumberFormat="0" applyAlignment="0" applyProtection="0"/>
    <xf numFmtId="0" fontId="10" fillId="20" borderId="2" applyNumberFormat="0" applyAlignment="0" applyProtection="0"/>
    <xf numFmtId="0" fontId="10" fillId="20" borderId="2" applyNumberFormat="0" applyAlignment="0" applyProtection="0"/>
    <xf numFmtId="0" fontId="11" fillId="7" borderId="2" applyNumberFormat="0" applyAlignment="0" applyProtection="0"/>
    <xf numFmtId="0" fontId="11" fillId="7" borderId="2" applyNumberFormat="0" applyAlignment="0" applyProtection="0"/>
    <xf numFmtId="0" fontId="12" fillId="0" borderId="3" applyNumberFormat="0" applyFill="0" applyAlignment="0" applyProtection="0"/>
    <xf numFmtId="0" fontId="12" fillId="0" borderId="3" applyNumberFormat="0" applyFill="0" applyAlignment="0" applyProtection="0"/>
    <xf numFmtId="0" fontId="12" fillId="0" borderId="3" applyNumberFormat="0" applyFill="0" applyAlignment="0" applyProtection="0"/>
    <xf numFmtId="0" fontId="13" fillId="0" borderId="0" applyNumberFormat="0" applyFill="0" applyBorder="0" applyAlignment="0" applyProtection="0"/>
    <xf numFmtId="0" fontId="13" fillId="0" borderId="0" applyNumberFormat="0" applyFill="0" applyBorder="0" applyAlignment="0" applyProtection="0"/>
    <xf numFmtId="44" fontId="3" fillId="0" borderId="0" applyFont="0" applyFill="0" applyBorder="0" applyAlignment="0" applyProtection="0"/>
    <xf numFmtId="0" fontId="14" fillId="4" borderId="0" applyNumberFormat="0" applyBorder="0" applyAlignment="0" applyProtection="0"/>
    <xf numFmtId="0" fontId="14" fillId="4" borderId="0" applyNumberFormat="0" applyBorder="0" applyAlignment="0" applyProtection="0"/>
    <xf numFmtId="0" fontId="33" fillId="0" borderId="0" applyNumberFormat="0" applyFill="0" applyBorder="0" applyAlignment="0" applyProtection="0">
      <alignment vertical="top"/>
      <protection locked="0"/>
    </xf>
    <xf numFmtId="0" fontId="37"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15" fillId="21" borderId="0" applyNumberFormat="0" applyBorder="0" applyAlignment="0" applyProtection="0"/>
    <xf numFmtId="0" fontId="15" fillId="21" borderId="0" applyNumberFormat="0" applyBorder="0" applyAlignment="0" applyProtection="0"/>
    <xf numFmtId="0" fontId="8" fillId="22" borderId="4" applyNumberFormat="0" applyFont="0" applyAlignment="0" applyProtection="0"/>
    <xf numFmtId="0" fontId="8" fillId="22" borderId="4" applyNumberFormat="0" applyFont="0" applyAlignment="0" applyProtection="0"/>
    <xf numFmtId="9" fontId="1" fillId="0" borderId="0" applyFont="0" applyFill="0" applyBorder="0" applyAlignment="0" applyProtection="0"/>
    <xf numFmtId="0" fontId="16" fillId="3" borderId="0" applyNumberFormat="0" applyBorder="0" applyAlignment="0" applyProtection="0"/>
    <xf numFmtId="0" fontId="16" fillId="3" borderId="0" applyNumberFormat="0" applyBorder="0" applyAlignment="0" applyProtection="0"/>
    <xf numFmtId="0" fontId="17" fillId="0" borderId="0" applyNumberFormat="0" applyFill="0" applyBorder="0" applyAlignment="0" applyProtection="0"/>
    <xf numFmtId="0" fontId="18" fillId="0" borderId="5" applyNumberFormat="0" applyFill="0" applyAlignment="0" applyProtection="0"/>
    <xf numFmtId="0" fontId="18" fillId="0" borderId="5" applyNumberFormat="0" applyFill="0" applyAlignment="0" applyProtection="0"/>
    <xf numFmtId="0" fontId="18" fillId="0" borderId="5" applyNumberFormat="0" applyFill="0" applyAlignment="0" applyProtection="0"/>
    <xf numFmtId="0" fontId="19" fillId="0" borderId="6" applyNumberFormat="0" applyFill="0" applyAlignment="0" applyProtection="0"/>
    <xf numFmtId="0" fontId="19" fillId="0" borderId="6" applyNumberFormat="0" applyFill="0" applyAlignment="0" applyProtection="0"/>
    <xf numFmtId="0" fontId="20" fillId="0" borderId="7" applyNumberFormat="0" applyFill="0" applyAlignment="0" applyProtection="0"/>
    <xf numFmtId="0" fontId="20" fillId="0" borderId="7" applyNumberFormat="0" applyFill="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17" fillId="0" borderId="0" applyNumberFormat="0" applyFill="0" applyBorder="0" applyAlignment="0" applyProtection="0"/>
    <xf numFmtId="0" fontId="21" fillId="0" borderId="8" applyNumberFormat="0" applyFill="0" applyAlignment="0" applyProtection="0"/>
    <xf numFmtId="0" fontId="21" fillId="0" borderId="8"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6" fillId="23" borderId="9" applyNumberFormat="0" applyAlignment="0" applyProtection="0"/>
    <xf numFmtId="0" fontId="6" fillId="23" borderId="9" applyNumberFormat="0" applyAlignment="0" applyProtection="0"/>
  </cellStyleXfs>
  <cellXfs count="281">
    <xf numFmtId="0" fontId="0" fillId="0" borderId="0" xfId="0"/>
    <xf numFmtId="0" fontId="0" fillId="24" borderId="10" xfId="0" applyFill="1" applyBorder="1" applyAlignment="1" applyProtection="1">
      <alignment horizontal="left" wrapText="1"/>
      <protection hidden="1"/>
    </xf>
    <xf numFmtId="0" fontId="0" fillId="25" borderId="0" xfId="0" applyFill="1" applyAlignment="1" applyProtection="1">
      <alignment horizontal="left" wrapText="1"/>
      <protection hidden="1"/>
    </xf>
    <xf numFmtId="0" fontId="0" fillId="0" borderId="0" xfId="0" applyProtection="1">
      <protection hidden="1"/>
    </xf>
    <xf numFmtId="0" fontId="0" fillId="0" borderId="11" xfId="0" applyBorder="1" applyProtection="1">
      <protection hidden="1"/>
    </xf>
    <xf numFmtId="0" fontId="0" fillId="0" borderId="12" xfId="0" applyBorder="1" applyProtection="1">
      <protection hidden="1"/>
    </xf>
    <xf numFmtId="0" fontId="0" fillId="0" borderId="13" xfId="0" applyBorder="1" applyProtection="1">
      <protection hidden="1"/>
    </xf>
    <xf numFmtId="0" fontId="0" fillId="0" borderId="14" xfId="0" applyBorder="1" applyProtection="1">
      <protection hidden="1"/>
    </xf>
    <xf numFmtId="0" fontId="0" fillId="0" borderId="15" xfId="0" applyBorder="1" applyProtection="1">
      <protection hidden="1"/>
    </xf>
    <xf numFmtId="0" fontId="4" fillId="0" borderId="0" xfId="0" applyFont="1" applyProtection="1">
      <protection hidden="1"/>
    </xf>
    <xf numFmtId="0" fontId="2" fillId="26" borderId="14" xfId="0" applyFont="1" applyFill="1" applyBorder="1" applyAlignment="1" applyProtection="1">
      <alignment horizontal="left" wrapText="1"/>
      <protection hidden="1"/>
    </xf>
    <xf numFmtId="0" fontId="0" fillId="0" borderId="16" xfId="0" applyBorder="1" applyProtection="1">
      <protection hidden="1"/>
    </xf>
    <xf numFmtId="0" fontId="0" fillId="0" borderId="17" xfId="0" applyBorder="1" applyProtection="1">
      <protection hidden="1"/>
    </xf>
    <xf numFmtId="0" fontId="0" fillId="0" borderId="18" xfId="0" applyBorder="1" applyProtection="1">
      <protection hidden="1"/>
    </xf>
    <xf numFmtId="0" fontId="0" fillId="0" borderId="19" xfId="0" applyBorder="1" applyProtection="1">
      <protection hidden="1"/>
    </xf>
    <xf numFmtId="0" fontId="0" fillId="0" borderId="20" xfId="0" applyBorder="1" applyProtection="1">
      <protection hidden="1"/>
    </xf>
    <xf numFmtId="0" fontId="27" fillId="0" borderId="0" xfId="0" applyFont="1" applyAlignment="1" applyProtection="1">
      <alignment horizontal="center" vertical="center"/>
      <protection hidden="1"/>
    </xf>
    <xf numFmtId="0" fontId="0" fillId="0" borderId="21" xfId="0" applyBorder="1" applyAlignment="1" applyProtection="1">
      <alignment horizontal="center"/>
      <protection hidden="1"/>
    </xf>
    <xf numFmtId="0" fontId="0" fillId="0" borderId="22" xfId="0" applyBorder="1" applyAlignment="1" applyProtection="1">
      <alignment horizontal="center"/>
      <protection hidden="1"/>
    </xf>
    <xf numFmtId="0" fontId="0" fillId="0" borderId="23" xfId="0" applyBorder="1" applyAlignment="1" applyProtection="1">
      <alignment horizontal="center"/>
      <protection hidden="1"/>
    </xf>
    <xf numFmtId="0" fontId="0" fillId="0" borderId="24" xfId="0" applyBorder="1" applyAlignment="1" applyProtection="1">
      <alignment horizontal="center"/>
      <protection hidden="1"/>
    </xf>
    <xf numFmtId="0" fontId="2" fillId="0" borderId="0" xfId="0" applyFont="1" applyProtection="1">
      <protection hidden="1"/>
    </xf>
    <xf numFmtId="0" fontId="0" fillId="0" borderId="19" xfId="0" applyBorder="1" applyAlignment="1" applyProtection="1">
      <alignment horizontal="center"/>
      <protection hidden="1"/>
    </xf>
    <xf numFmtId="0" fontId="0" fillId="0" borderId="25" xfId="0" applyBorder="1" applyAlignment="1" applyProtection="1">
      <alignment horizontal="center"/>
      <protection hidden="1"/>
    </xf>
    <xf numFmtId="0" fontId="0" fillId="0" borderId="26" xfId="0" applyBorder="1" applyAlignment="1" applyProtection="1">
      <alignment horizontal="center"/>
      <protection hidden="1"/>
    </xf>
    <xf numFmtId="0" fontId="0" fillId="0" borderId="27" xfId="0" applyBorder="1" applyAlignment="1" applyProtection="1">
      <alignment horizontal="center"/>
      <protection hidden="1"/>
    </xf>
    <xf numFmtId="0" fontId="0" fillId="0" borderId="28" xfId="0" applyBorder="1" applyAlignment="1" applyProtection="1">
      <alignment horizontal="center"/>
      <protection hidden="1"/>
    </xf>
    <xf numFmtId="0" fontId="0" fillId="0" borderId="21" xfId="0" applyBorder="1" applyProtection="1">
      <protection hidden="1"/>
    </xf>
    <xf numFmtId="0" fontId="0" fillId="0" borderId="22" xfId="0" applyBorder="1" applyProtection="1">
      <protection hidden="1"/>
    </xf>
    <xf numFmtId="0" fontId="0" fillId="0" borderId="23" xfId="0" applyBorder="1" applyProtection="1">
      <protection hidden="1"/>
    </xf>
    <xf numFmtId="0" fontId="0" fillId="0" borderId="29" xfId="0" applyBorder="1" applyProtection="1">
      <protection hidden="1"/>
    </xf>
    <xf numFmtId="0" fontId="0" fillId="0" borderId="30" xfId="0" applyBorder="1" applyProtection="1">
      <protection hidden="1"/>
    </xf>
    <xf numFmtId="0" fontId="0" fillId="0" borderId="31" xfId="0" applyBorder="1" applyProtection="1">
      <protection hidden="1"/>
    </xf>
    <xf numFmtId="0" fontId="0" fillId="0" borderId="32" xfId="0" applyBorder="1" applyProtection="1">
      <protection hidden="1"/>
    </xf>
    <xf numFmtId="0" fontId="0" fillId="0" borderId="33" xfId="0" applyBorder="1" applyProtection="1">
      <protection hidden="1"/>
    </xf>
    <xf numFmtId="0" fontId="0" fillId="0" borderId="34" xfId="0" applyBorder="1" applyProtection="1">
      <protection hidden="1"/>
    </xf>
    <xf numFmtId="0" fontId="0" fillId="0" borderId="35" xfId="0" applyBorder="1" applyProtection="1">
      <protection hidden="1"/>
    </xf>
    <xf numFmtId="0" fontId="0" fillId="0" borderId="36" xfId="0" applyBorder="1" applyProtection="1">
      <protection hidden="1"/>
    </xf>
    <xf numFmtId="0" fontId="0" fillId="0" borderId="37" xfId="0" applyBorder="1" applyProtection="1">
      <protection hidden="1"/>
    </xf>
    <xf numFmtId="3" fontId="0" fillId="0" borderId="0" xfId="0" applyNumberFormat="1" applyProtection="1">
      <protection hidden="1"/>
    </xf>
    <xf numFmtId="10" fontId="0" fillId="0" borderId="21" xfId="0" applyNumberFormat="1" applyBorder="1" applyProtection="1">
      <protection hidden="1"/>
    </xf>
    <xf numFmtId="10" fontId="0" fillId="0" borderId="22" xfId="0" applyNumberFormat="1" applyBorder="1" applyProtection="1">
      <protection hidden="1"/>
    </xf>
    <xf numFmtId="10" fontId="0" fillId="0" borderId="38" xfId="0" applyNumberFormat="1" applyBorder="1" applyProtection="1">
      <protection hidden="1"/>
    </xf>
    <xf numFmtId="10" fontId="0" fillId="0" borderId="29" xfId="0" applyNumberFormat="1" applyBorder="1" applyProtection="1">
      <protection hidden="1"/>
    </xf>
    <xf numFmtId="0" fontId="2" fillId="0" borderId="33" xfId="0" applyFont="1" applyBorder="1" applyProtection="1">
      <protection hidden="1"/>
    </xf>
    <xf numFmtId="10" fontId="0" fillId="0" borderId="39" xfId="0" applyNumberFormat="1" applyBorder="1" applyProtection="1">
      <protection hidden="1"/>
    </xf>
    <xf numFmtId="10" fontId="0" fillId="0" borderId="40" xfId="0" applyNumberFormat="1" applyBorder="1" applyProtection="1">
      <protection hidden="1"/>
    </xf>
    <xf numFmtId="10" fontId="0" fillId="0" borderId="41" xfId="0" applyNumberFormat="1" applyBorder="1" applyProtection="1">
      <protection hidden="1"/>
    </xf>
    <xf numFmtId="10" fontId="0" fillId="0" borderId="42" xfId="0" applyNumberFormat="1" applyBorder="1" applyProtection="1">
      <protection hidden="1"/>
    </xf>
    <xf numFmtId="0" fontId="2" fillId="0" borderId="0" xfId="0" quotePrefix="1" applyFont="1" applyProtection="1">
      <protection hidden="1"/>
    </xf>
    <xf numFmtId="3" fontId="2" fillId="0" borderId="0" xfId="0" applyNumberFormat="1" applyFont="1" applyProtection="1">
      <protection hidden="1"/>
    </xf>
    <xf numFmtId="10" fontId="0" fillId="0" borderId="30" xfId="0" applyNumberFormat="1" applyBorder="1" applyProtection="1">
      <protection hidden="1"/>
    </xf>
    <xf numFmtId="10" fontId="0" fillId="0" borderId="31" xfId="0" applyNumberFormat="1" applyBorder="1" applyProtection="1">
      <protection hidden="1"/>
    </xf>
    <xf numFmtId="10" fontId="0" fillId="0" borderId="43" xfId="0" applyNumberFormat="1" applyBorder="1" applyProtection="1">
      <protection hidden="1"/>
    </xf>
    <xf numFmtId="10" fontId="0" fillId="0" borderId="16" xfId="0" applyNumberFormat="1" applyBorder="1" applyProtection="1">
      <protection hidden="1"/>
    </xf>
    <xf numFmtId="0" fontId="0" fillId="0" borderId="44" xfId="0" applyBorder="1" applyProtection="1">
      <protection hidden="1"/>
    </xf>
    <xf numFmtId="0" fontId="0" fillId="0" borderId="45" xfId="0" applyBorder="1" applyProtection="1">
      <protection hidden="1"/>
    </xf>
    <xf numFmtId="0" fontId="0" fillId="0" borderId="46" xfId="0" applyBorder="1" applyProtection="1">
      <protection hidden="1"/>
    </xf>
    <xf numFmtId="0" fontId="0" fillId="0" borderId="47" xfId="0" applyBorder="1" applyProtection="1">
      <protection hidden="1"/>
    </xf>
    <xf numFmtId="0" fontId="0" fillId="0" borderId="48" xfId="0" applyBorder="1" applyProtection="1">
      <protection hidden="1"/>
    </xf>
    <xf numFmtId="10" fontId="0" fillId="0" borderId="34" xfId="0" applyNumberFormat="1" applyBorder="1" applyProtection="1">
      <protection hidden="1"/>
    </xf>
    <xf numFmtId="10" fontId="0" fillId="0" borderId="35" xfId="0" applyNumberFormat="1" applyBorder="1" applyProtection="1">
      <protection hidden="1"/>
    </xf>
    <xf numFmtId="10" fontId="0" fillId="0" borderId="49" xfId="0" applyNumberFormat="1" applyBorder="1" applyProtection="1">
      <protection hidden="1"/>
    </xf>
    <xf numFmtId="0" fontId="24" fillId="0" borderId="0" xfId="0" applyFont="1" applyAlignment="1" applyProtection="1">
      <alignment horizontal="center"/>
      <protection hidden="1"/>
    </xf>
    <xf numFmtId="0" fontId="25" fillId="0" borderId="0" xfId="0" applyFont="1" applyProtection="1">
      <protection hidden="1"/>
    </xf>
    <xf numFmtId="0" fontId="0" fillId="0" borderId="50" xfId="0" applyBorder="1" applyProtection="1">
      <protection hidden="1"/>
    </xf>
    <xf numFmtId="0" fontId="0" fillId="0" borderId="10" xfId="0" applyBorder="1" applyProtection="1">
      <protection hidden="1"/>
    </xf>
    <xf numFmtId="0" fontId="2" fillId="0" borderId="46" xfId="0" applyFont="1" applyBorder="1" applyProtection="1">
      <protection hidden="1"/>
    </xf>
    <xf numFmtId="0" fontId="0" fillId="0" borderId="51" xfId="0" applyBorder="1" applyProtection="1">
      <protection hidden="1"/>
    </xf>
    <xf numFmtId="0" fontId="0" fillId="0" borderId="52" xfId="0" applyBorder="1" applyProtection="1">
      <protection hidden="1"/>
    </xf>
    <xf numFmtId="0" fontId="2" fillId="0" borderId="51" xfId="0" applyFont="1" applyBorder="1" applyProtection="1">
      <protection hidden="1"/>
    </xf>
    <xf numFmtId="0" fontId="28" fillId="0" borderId="0" xfId="0" applyFont="1" applyProtection="1">
      <protection hidden="1"/>
    </xf>
    <xf numFmtId="0" fontId="24" fillId="0" borderId="0" xfId="0" applyFont="1" applyProtection="1">
      <protection hidden="1"/>
    </xf>
    <xf numFmtId="0" fontId="0" fillId="0" borderId="53" xfId="0" applyBorder="1" applyProtection="1">
      <protection hidden="1"/>
    </xf>
    <xf numFmtId="0" fontId="0" fillId="0" borderId="54" xfId="0" applyBorder="1" applyProtection="1">
      <protection hidden="1"/>
    </xf>
    <xf numFmtId="0" fontId="0" fillId="26" borderId="0" xfId="0" applyFill="1" applyProtection="1">
      <protection hidden="1"/>
    </xf>
    <xf numFmtId="0" fontId="0" fillId="26" borderId="55" xfId="0" applyFill="1" applyBorder="1" applyProtection="1">
      <protection hidden="1"/>
    </xf>
    <xf numFmtId="4" fontId="0" fillId="25" borderId="21" xfId="0" applyNumberFormat="1" applyFill="1" applyBorder="1" applyProtection="1">
      <protection locked="0"/>
    </xf>
    <xf numFmtId="4" fontId="0" fillId="25" borderId="22" xfId="0" applyNumberFormat="1" applyFill="1" applyBorder="1" applyProtection="1">
      <protection locked="0"/>
    </xf>
    <xf numFmtId="4" fontId="0" fillId="25" borderId="30" xfId="0" applyNumberFormat="1" applyFill="1" applyBorder="1" applyProtection="1">
      <protection locked="0"/>
    </xf>
    <xf numFmtId="4" fontId="0" fillId="25" borderId="31" xfId="0" applyNumberFormat="1" applyFill="1" applyBorder="1" applyProtection="1">
      <protection locked="0"/>
    </xf>
    <xf numFmtId="4" fontId="0" fillId="25" borderId="34" xfId="0" applyNumberFormat="1" applyFill="1" applyBorder="1" applyProtection="1">
      <protection locked="0"/>
    </xf>
    <xf numFmtId="4" fontId="0" fillId="25" borderId="35" xfId="0" applyNumberFormat="1" applyFill="1" applyBorder="1" applyProtection="1">
      <protection locked="0"/>
    </xf>
    <xf numFmtId="10" fontId="0" fillId="25" borderId="38" xfId="0" applyNumberFormat="1" applyFill="1" applyBorder="1" applyProtection="1">
      <protection locked="0"/>
    </xf>
    <xf numFmtId="10" fontId="0" fillId="25" borderId="49" xfId="0" applyNumberFormat="1" applyFill="1" applyBorder="1" applyProtection="1">
      <protection locked="0"/>
    </xf>
    <xf numFmtId="10" fontId="0" fillId="25" borderId="43" xfId="0" applyNumberFormat="1" applyFill="1" applyBorder="1" applyProtection="1">
      <protection locked="0"/>
    </xf>
    <xf numFmtId="10" fontId="0" fillId="25" borderId="56" xfId="0" applyNumberFormat="1" applyFill="1" applyBorder="1" applyProtection="1">
      <protection locked="0"/>
    </xf>
    <xf numFmtId="0" fontId="1" fillId="0" borderId="0" xfId="0" applyFont="1" applyProtection="1">
      <protection hidden="1"/>
    </xf>
    <xf numFmtId="3" fontId="0" fillId="0" borderId="50" xfId="0" applyNumberFormat="1" applyBorder="1" applyProtection="1">
      <protection hidden="1"/>
    </xf>
    <xf numFmtId="3" fontId="0" fillId="0" borderId="33" xfId="0" applyNumberFormat="1" applyBorder="1" applyProtection="1">
      <protection hidden="1"/>
    </xf>
    <xf numFmtId="0" fontId="0" fillId="0" borderId="57" xfId="0" applyBorder="1" applyProtection="1">
      <protection hidden="1"/>
    </xf>
    <xf numFmtId="0" fontId="2" fillId="0" borderId="52" xfId="0" applyFont="1" applyBorder="1" applyProtection="1">
      <protection hidden="1"/>
    </xf>
    <xf numFmtId="3" fontId="0" fillId="0" borderId="31" xfId="0" applyNumberFormat="1" applyBorder="1" applyProtection="1">
      <protection locked="0"/>
    </xf>
    <xf numFmtId="0" fontId="0" fillId="0" borderId="58" xfId="0" applyBorder="1" applyProtection="1">
      <protection hidden="1"/>
    </xf>
    <xf numFmtId="0" fontId="0" fillId="0" borderId="32" xfId="0" quotePrefix="1" applyBorder="1" applyProtection="1">
      <protection hidden="1"/>
    </xf>
    <xf numFmtId="0" fontId="2" fillId="0" borderId="32" xfId="0" applyFont="1" applyBorder="1" applyProtection="1">
      <protection hidden="1"/>
    </xf>
    <xf numFmtId="0" fontId="2" fillId="0" borderId="10" xfId="0" applyFont="1" applyBorder="1" applyProtection="1">
      <protection hidden="1"/>
    </xf>
    <xf numFmtId="0" fontId="2" fillId="0" borderId="58" xfId="0" applyFont="1" applyBorder="1" applyProtection="1">
      <protection hidden="1"/>
    </xf>
    <xf numFmtId="0" fontId="0" fillId="0" borderId="56" xfId="0" applyBorder="1" applyProtection="1">
      <protection locked="0" hidden="1"/>
    </xf>
    <xf numFmtId="0" fontId="2" fillId="0" borderId="36" xfId="0" quotePrefix="1" applyFont="1" applyBorder="1" applyProtection="1">
      <protection hidden="1"/>
    </xf>
    <xf numFmtId="3" fontId="2" fillId="0" borderId="31" xfId="0" applyNumberFormat="1" applyFont="1" applyBorder="1" applyProtection="1">
      <protection locked="0"/>
    </xf>
    <xf numFmtId="10" fontId="0" fillId="25" borderId="59" xfId="0" applyNumberFormat="1" applyFill="1" applyBorder="1" applyProtection="1">
      <protection locked="0"/>
    </xf>
    <xf numFmtId="3" fontId="26" fillId="25" borderId="57" xfId="0" applyNumberFormat="1" applyFont="1" applyFill="1" applyBorder="1" applyProtection="1">
      <protection hidden="1"/>
    </xf>
    <xf numFmtId="3" fontId="26" fillId="0" borderId="60" xfId="0" applyNumberFormat="1" applyFont="1" applyBorder="1" applyProtection="1">
      <protection hidden="1"/>
    </xf>
    <xf numFmtId="0" fontId="0" fillId="0" borderId="61" xfId="0" applyBorder="1" applyProtection="1">
      <protection locked="0"/>
    </xf>
    <xf numFmtId="0" fontId="0" fillId="0" borderId="60" xfId="0" applyBorder="1" applyProtection="1">
      <protection hidden="1"/>
    </xf>
    <xf numFmtId="0" fontId="3" fillId="0" borderId="32" xfId="0" applyFont="1" applyBorder="1" applyProtection="1">
      <protection hidden="1"/>
    </xf>
    <xf numFmtId="1" fontId="2" fillId="25" borderId="31" xfId="0" applyNumberFormat="1" applyFont="1" applyFill="1" applyBorder="1" applyAlignment="1" applyProtection="1">
      <alignment horizontal="center"/>
      <protection locked="0"/>
    </xf>
    <xf numFmtId="0" fontId="3" fillId="0" borderId="10" xfId="0" applyFont="1" applyBorder="1" applyProtection="1">
      <protection hidden="1"/>
    </xf>
    <xf numFmtId="0" fontId="3" fillId="0" borderId="0" xfId="0" applyFont="1" applyProtection="1">
      <protection hidden="1"/>
    </xf>
    <xf numFmtId="1" fontId="2" fillId="25" borderId="0" xfId="0" applyNumberFormat="1" applyFont="1" applyFill="1" applyAlignment="1" applyProtection="1">
      <alignment horizontal="center"/>
      <protection locked="0"/>
    </xf>
    <xf numFmtId="0" fontId="32" fillId="0" borderId="0" xfId="0" applyFont="1" applyProtection="1">
      <protection hidden="1"/>
    </xf>
    <xf numFmtId="0" fontId="3" fillId="0" borderId="58" xfId="0" applyFont="1" applyBorder="1" applyProtection="1">
      <protection hidden="1"/>
    </xf>
    <xf numFmtId="0" fontId="2" fillId="0" borderId="0" xfId="0" applyFont="1" applyAlignment="1" applyProtection="1">
      <alignment horizontal="left"/>
      <protection hidden="1"/>
    </xf>
    <xf numFmtId="0" fontId="0" fillId="0" borderId="0" xfId="0" applyAlignment="1" applyProtection="1">
      <alignment horizontal="right"/>
      <protection hidden="1"/>
    </xf>
    <xf numFmtId="0" fontId="29" fillId="27" borderId="62" xfId="0" applyFont="1" applyFill="1" applyBorder="1" applyAlignment="1" applyProtection="1">
      <alignment horizontal="centerContinuous" vertical="center"/>
      <protection hidden="1"/>
    </xf>
    <xf numFmtId="0" fontId="29" fillId="27" borderId="63" xfId="0" applyFont="1" applyFill="1" applyBorder="1" applyAlignment="1" applyProtection="1">
      <alignment horizontal="centerContinuous" vertical="center"/>
      <protection hidden="1"/>
    </xf>
    <xf numFmtId="0" fontId="29" fillId="27" borderId="64" xfId="0" applyFont="1" applyFill="1" applyBorder="1" applyAlignment="1" applyProtection="1">
      <alignment horizontal="centerContinuous" vertical="center"/>
      <protection hidden="1"/>
    </xf>
    <xf numFmtId="0" fontId="0" fillId="0" borderId="62" xfId="0" applyBorder="1" applyProtection="1">
      <protection hidden="1"/>
    </xf>
    <xf numFmtId="0" fontId="2" fillId="0" borderId="63" xfId="0" applyFont="1" applyBorder="1" applyProtection="1">
      <protection hidden="1"/>
    </xf>
    <xf numFmtId="0" fontId="0" fillId="0" borderId="63" xfId="0" applyBorder="1" applyProtection="1">
      <protection hidden="1"/>
    </xf>
    <xf numFmtId="0" fontId="0" fillId="0" borderId="64" xfId="0" applyBorder="1" applyProtection="1">
      <protection hidden="1"/>
    </xf>
    <xf numFmtId="0" fontId="0" fillId="0" borderId="61" xfId="0" applyBorder="1" applyProtection="1">
      <protection hidden="1"/>
    </xf>
    <xf numFmtId="0" fontId="0" fillId="0" borderId="56" xfId="0" applyBorder="1" applyAlignment="1" applyProtection="1">
      <alignment horizontal="center"/>
      <protection locked="0"/>
    </xf>
    <xf numFmtId="0" fontId="0" fillId="0" borderId="0" xfId="0" applyAlignment="1" applyProtection="1">
      <alignment horizontal="left" vertical="top" wrapText="1"/>
      <protection hidden="1"/>
    </xf>
    <xf numFmtId="0" fontId="0" fillId="0" borderId="61" xfId="0" applyBorder="1" applyAlignment="1" applyProtection="1">
      <alignment horizontal="center"/>
      <protection hidden="1"/>
    </xf>
    <xf numFmtId="0" fontId="2" fillId="28" borderId="10" xfId="0" applyFont="1" applyFill="1" applyBorder="1" applyProtection="1">
      <protection hidden="1"/>
    </xf>
    <xf numFmtId="0" fontId="34" fillId="0" borderId="12" xfId="47" applyBorder="1" applyAlignment="1" applyProtection="1">
      <alignment horizontal="left"/>
      <protection hidden="1"/>
    </xf>
    <xf numFmtId="0" fontId="0" fillId="0" borderId="14" xfId="0" applyBorder="1"/>
    <xf numFmtId="0" fontId="2" fillId="0" borderId="61" xfId="0" applyFont="1" applyBorder="1" applyProtection="1">
      <protection hidden="1"/>
    </xf>
    <xf numFmtId="0" fontId="2" fillId="0" borderId="65" xfId="0" applyFont="1" applyBorder="1" applyProtection="1">
      <protection hidden="1"/>
    </xf>
    <xf numFmtId="0" fontId="2" fillId="0" borderId="56" xfId="0" applyFont="1" applyBorder="1" applyProtection="1">
      <protection hidden="1"/>
    </xf>
    <xf numFmtId="0" fontId="0" fillId="0" borderId="43" xfId="0" applyBorder="1" applyProtection="1">
      <protection hidden="1"/>
    </xf>
    <xf numFmtId="0" fontId="0" fillId="0" borderId="49" xfId="0" applyBorder="1" applyProtection="1">
      <protection hidden="1"/>
    </xf>
    <xf numFmtId="3" fontId="31" fillId="29" borderId="31" xfId="0" applyNumberFormat="1" applyFont="1" applyFill="1" applyBorder="1" applyProtection="1">
      <protection hidden="1"/>
    </xf>
    <xf numFmtId="0" fontId="26" fillId="27" borderId="46" xfId="0" applyFont="1" applyFill="1" applyBorder="1" applyProtection="1">
      <protection hidden="1"/>
    </xf>
    <xf numFmtId="0" fontId="30" fillId="27" borderId="52" xfId="0" applyFont="1" applyFill="1" applyBorder="1" applyAlignment="1" applyProtection="1">
      <alignment horizontal="center" vertical="center"/>
      <protection hidden="1"/>
    </xf>
    <xf numFmtId="0" fontId="6" fillId="27" borderId="32" xfId="0" applyFont="1" applyFill="1" applyBorder="1" applyAlignment="1" applyProtection="1">
      <alignment horizontal="left"/>
      <protection hidden="1"/>
    </xf>
    <xf numFmtId="0" fontId="0" fillId="27" borderId="10" xfId="0" applyFill="1" applyBorder="1" applyProtection="1">
      <protection hidden="1"/>
    </xf>
    <xf numFmtId="0" fontId="0" fillId="27" borderId="58" xfId="0" applyFill="1" applyBorder="1" applyProtection="1">
      <protection hidden="1"/>
    </xf>
    <xf numFmtId="0" fontId="6" fillId="27" borderId="31" xfId="0" applyFont="1" applyFill="1" applyBorder="1" applyAlignment="1" applyProtection="1">
      <alignment horizontal="left"/>
      <protection hidden="1"/>
    </xf>
    <xf numFmtId="3" fontId="0" fillId="27" borderId="58" xfId="0" applyNumberFormat="1" applyFill="1" applyBorder="1" applyProtection="1">
      <protection hidden="1"/>
    </xf>
    <xf numFmtId="0" fontId="0" fillId="27" borderId="0" xfId="0" applyFill="1" applyProtection="1">
      <protection hidden="1"/>
    </xf>
    <xf numFmtId="3" fontId="1" fillId="29" borderId="31" xfId="0" applyNumberFormat="1" applyFont="1" applyFill="1" applyBorder="1" applyProtection="1">
      <protection locked="0"/>
    </xf>
    <xf numFmtId="3" fontId="0" fillId="29" borderId="31" xfId="0" applyNumberFormat="1" applyFill="1" applyBorder="1" applyProtection="1">
      <protection locked="0"/>
    </xf>
    <xf numFmtId="0" fontId="0" fillId="29" borderId="31" xfId="0" applyFill="1" applyBorder="1" applyProtection="1">
      <protection locked="0"/>
    </xf>
    <xf numFmtId="3" fontId="0" fillId="29" borderId="31" xfId="0" applyNumberFormat="1" applyFill="1" applyBorder="1" applyProtection="1">
      <protection hidden="1"/>
    </xf>
    <xf numFmtId="3" fontId="2" fillId="29" borderId="31" xfId="0" applyNumberFormat="1" applyFont="1" applyFill="1" applyBorder="1" applyProtection="1">
      <protection hidden="1"/>
    </xf>
    <xf numFmtId="10" fontId="1" fillId="29" borderId="31" xfId="52" applyNumberFormat="1" applyFont="1" applyFill="1" applyBorder="1" applyAlignment="1" applyProtection="1">
      <alignment horizontal="center"/>
    </xf>
    <xf numFmtId="165" fontId="1" fillId="29" borderId="31" xfId="52" applyNumberFormat="1" applyFont="1" applyFill="1" applyBorder="1" applyAlignment="1" applyProtection="1">
      <alignment horizontal="center"/>
    </xf>
    <xf numFmtId="4" fontId="1" fillId="29" borderId="31" xfId="0" applyNumberFormat="1" applyFont="1" applyFill="1" applyBorder="1" applyAlignment="1">
      <alignment horizontal="center"/>
    </xf>
    <xf numFmtId="3" fontId="2" fillId="29" borderId="31" xfId="0" applyNumberFormat="1" applyFont="1" applyFill="1" applyBorder="1" applyProtection="1">
      <protection locked="0"/>
    </xf>
    <xf numFmtId="3" fontId="2" fillId="29" borderId="35" xfId="0" applyNumberFormat="1" applyFont="1" applyFill="1" applyBorder="1" applyProtection="1">
      <protection hidden="1"/>
    </xf>
    <xf numFmtId="3" fontId="0" fillId="29" borderId="29" xfId="0" applyNumberFormat="1" applyFill="1" applyBorder="1" applyProtection="1">
      <protection hidden="1"/>
    </xf>
    <xf numFmtId="3" fontId="0" fillId="29" borderId="37" xfId="0" applyNumberFormat="1" applyFill="1" applyBorder="1" applyProtection="1">
      <protection hidden="1"/>
    </xf>
    <xf numFmtId="165" fontId="0" fillId="29" borderId="50" xfId="0" applyNumberFormat="1" applyFill="1" applyBorder="1" applyProtection="1">
      <protection hidden="1"/>
    </xf>
    <xf numFmtId="165" fontId="0" fillId="29" borderId="33" xfId="0" applyNumberFormat="1" applyFill="1" applyBorder="1" applyProtection="1">
      <protection hidden="1"/>
    </xf>
    <xf numFmtId="165" fontId="0" fillId="29" borderId="23" xfId="0" applyNumberFormat="1" applyFill="1" applyBorder="1" applyProtection="1">
      <protection hidden="1"/>
    </xf>
    <xf numFmtId="165" fontId="0" fillId="29" borderId="36" xfId="0" applyNumberFormat="1" applyFill="1" applyBorder="1" applyProtection="1">
      <protection hidden="1"/>
    </xf>
    <xf numFmtId="3" fontId="0" fillId="29" borderId="66" xfId="0" applyNumberFormat="1" applyFill="1" applyBorder="1" applyProtection="1">
      <protection hidden="1"/>
    </xf>
    <xf numFmtId="3" fontId="2" fillId="29" borderId="66" xfId="0" applyNumberFormat="1" applyFont="1" applyFill="1" applyBorder="1" applyProtection="1">
      <protection hidden="1"/>
    </xf>
    <xf numFmtId="3" fontId="2" fillId="29" borderId="37" xfId="0" applyNumberFormat="1" applyFont="1" applyFill="1" applyBorder="1" applyProtection="1">
      <protection hidden="1"/>
    </xf>
    <xf numFmtId="0" fontId="0" fillId="29" borderId="20" xfId="0" applyFill="1" applyBorder="1" applyAlignment="1" applyProtection="1">
      <alignment horizontal="center"/>
      <protection locked="0"/>
    </xf>
    <xf numFmtId="0" fontId="0" fillId="29" borderId="20" xfId="0" applyFill="1" applyBorder="1" applyAlignment="1" applyProtection="1">
      <alignment horizontal="center"/>
      <protection hidden="1"/>
    </xf>
    <xf numFmtId="0" fontId="6" fillId="27" borderId="58" xfId="0" applyFont="1" applyFill="1" applyBorder="1" applyAlignment="1" applyProtection="1">
      <alignment horizontal="left" wrapText="1"/>
      <protection hidden="1"/>
    </xf>
    <xf numFmtId="0" fontId="2" fillId="29" borderId="27" xfId="0" applyFont="1" applyFill="1" applyBorder="1" applyAlignment="1" applyProtection="1">
      <alignment horizontal="left" wrapText="1"/>
      <protection hidden="1"/>
    </xf>
    <xf numFmtId="0" fontId="2" fillId="29" borderId="55" xfId="0" applyFont="1" applyFill="1" applyBorder="1" applyAlignment="1" applyProtection="1">
      <alignment horizontal="left" wrapText="1"/>
      <protection hidden="1"/>
    </xf>
    <xf numFmtId="0" fontId="2" fillId="29" borderId="67" xfId="0" applyFont="1" applyFill="1" applyBorder="1" applyAlignment="1" applyProtection="1">
      <alignment horizontal="left" wrapText="1"/>
      <protection hidden="1"/>
    </xf>
    <xf numFmtId="0" fontId="2" fillId="29" borderId="68" xfId="0" applyFont="1" applyFill="1" applyBorder="1" applyAlignment="1" applyProtection="1">
      <alignment horizontal="left" wrapText="1"/>
      <protection hidden="1"/>
    </xf>
    <xf numFmtId="0" fontId="2" fillId="29" borderId="0" xfId="0" applyFont="1" applyFill="1" applyAlignment="1" applyProtection="1">
      <alignment horizontal="left" wrapText="1"/>
      <protection hidden="1"/>
    </xf>
    <xf numFmtId="0" fontId="2" fillId="29" borderId="12" xfId="0" applyFont="1" applyFill="1" applyBorder="1" applyAlignment="1" applyProtection="1">
      <alignment horizontal="left" wrapText="1"/>
      <protection hidden="1"/>
    </xf>
    <xf numFmtId="0" fontId="2" fillId="29" borderId="69" xfId="0" applyFont="1" applyFill="1" applyBorder="1" applyAlignment="1" applyProtection="1">
      <alignment horizontal="left" wrapText="1"/>
      <protection hidden="1"/>
    </xf>
    <xf numFmtId="0" fontId="2" fillId="29" borderId="14" xfId="0" applyFont="1" applyFill="1" applyBorder="1" applyAlignment="1" applyProtection="1">
      <alignment horizontal="left" wrapText="1"/>
      <protection hidden="1"/>
    </xf>
    <xf numFmtId="0" fontId="2" fillId="29" borderId="15" xfId="0" applyFont="1" applyFill="1" applyBorder="1" applyAlignment="1" applyProtection="1">
      <alignment horizontal="left" wrapText="1"/>
      <protection hidden="1"/>
    </xf>
    <xf numFmtId="0" fontId="0" fillId="29" borderId="0" xfId="0" applyFill="1" applyProtection="1">
      <protection hidden="1"/>
    </xf>
    <xf numFmtId="0" fontId="6" fillId="27" borderId="18" xfId="0" applyFont="1" applyFill="1" applyBorder="1" applyAlignment="1" applyProtection="1">
      <alignment horizontal="left"/>
      <protection hidden="1"/>
    </xf>
    <xf numFmtId="0" fontId="6" fillId="27" borderId="0" xfId="0" applyFont="1" applyFill="1" applyProtection="1">
      <protection hidden="1"/>
    </xf>
    <xf numFmtId="0" fontId="2" fillId="29" borderId="11" xfId="0" applyFont="1" applyFill="1" applyBorder="1" applyAlignment="1" applyProtection="1">
      <alignment horizontal="left" wrapText="1"/>
      <protection hidden="1"/>
    </xf>
    <xf numFmtId="0" fontId="2" fillId="29" borderId="13" xfId="0" applyFont="1" applyFill="1" applyBorder="1" applyAlignment="1" applyProtection="1">
      <alignment horizontal="left" wrapText="1"/>
      <protection hidden="1"/>
    </xf>
    <xf numFmtId="0" fontId="2" fillId="29" borderId="70" xfId="0" applyFont="1" applyFill="1" applyBorder="1" applyAlignment="1" applyProtection="1">
      <alignment horizontal="left" wrapText="1"/>
      <protection hidden="1"/>
    </xf>
    <xf numFmtId="0" fontId="0" fillId="29" borderId="55" xfId="0" applyFill="1" applyBorder="1" applyProtection="1">
      <protection hidden="1"/>
    </xf>
    <xf numFmtId="0" fontId="2" fillId="29" borderId="71" xfId="0" applyFont="1" applyFill="1" applyBorder="1" applyAlignment="1" applyProtection="1">
      <alignment horizontal="left" wrapText="1"/>
      <protection hidden="1"/>
    </xf>
    <xf numFmtId="0" fontId="0" fillId="29" borderId="35" xfId="0" applyFill="1" applyBorder="1" applyAlignment="1" applyProtection="1">
      <alignment horizontal="center"/>
      <protection hidden="1"/>
    </xf>
    <xf numFmtId="0" fontId="0" fillId="29" borderId="49" xfId="0" applyFill="1" applyBorder="1" applyAlignment="1" applyProtection="1">
      <alignment horizontal="center"/>
      <protection hidden="1"/>
    </xf>
    <xf numFmtId="4" fontId="0" fillId="29" borderId="22" xfId="0" applyNumberFormat="1" applyFill="1" applyBorder="1" applyProtection="1">
      <protection hidden="1"/>
    </xf>
    <xf numFmtId="4" fontId="0" fillId="29" borderId="38" xfId="0" applyNumberFormat="1" applyFill="1" applyBorder="1" applyProtection="1">
      <protection hidden="1"/>
    </xf>
    <xf numFmtId="4" fontId="0" fillId="29" borderId="31" xfId="0" applyNumberFormat="1" applyFill="1" applyBorder="1" applyProtection="1">
      <protection hidden="1"/>
    </xf>
    <xf numFmtId="4" fontId="0" fillId="29" borderId="43" xfId="0" applyNumberFormat="1" applyFill="1" applyBorder="1" applyProtection="1">
      <protection hidden="1"/>
    </xf>
    <xf numFmtId="4" fontId="0" fillId="29" borderId="35" xfId="0" applyNumberFormat="1" applyFill="1" applyBorder="1" applyProtection="1">
      <protection hidden="1"/>
    </xf>
    <xf numFmtId="4" fontId="0" fillId="29" borderId="49" xfId="0" applyNumberFormat="1" applyFill="1" applyBorder="1" applyProtection="1">
      <protection hidden="1"/>
    </xf>
    <xf numFmtId="0" fontId="2" fillId="29" borderId="72" xfId="0" applyFont="1" applyFill="1" applyBorder="1" applyAlignment="1" applyProtection="1">
      <alignment horizontal="left" wrapText="1"/>
      <protection hidden="1"/>
    </xf>
    <xf numFmtId="0" fontId="0" fillId="29" borderId="73" xfId="0" applyFill="1" applyBorder="1" applyAlignment="1" applyProtection="1">
      <alignment horizontal="center"/>
      <protection hidden="1"/>
    </xf>
    <xf numFmtId="0" fontId="0" fillId="29" borderId="29" xfId="0" applyFill="1" applyBorder="1" applyProtection="1">
      <protection hidden="1"/>
    </xf>
    <xf numFmtId="0" fontId="0" fillId="29" borderId="16" xfId="0" applyFill="1" applyBorder="1" applyProtection="1">
      <protection hidden="1"/>
    </xf>
    <xf numFmtId="0" fontId="0" fillId="29" borderId="37" xfId="0" applyFill="1" applyBorder="1" applyProtection="1">
      <protection hidden="1"/>
    </xf>
    <xf numFmtId="0" fontId="0" fillId="29" borderId="61" xfId="0" applyFill="1" applyBorder="1" applyProtection="1">
      <protection hidden="1"/>
    </xf>
    <xf numFmtId="0" fontId="0" fillId="29" borderId="74" xfId="0" applyFill="1" applyBorder="1" applyProtection="1">
      <protection hidden="1"/>
    </xf>
    <xf numFmtId="0" fontId="0" fillId="29" borderId="21" xfId="0" applyFill="1" applyBorder="1" applyProtection="1">
      <protection hidden="1"/>
    </xf>
    <xf numFmtId="0" fontId="0" fillId="29" borderId="30" xfId="0" applyFill="1" applyBorder="1" applyProtection="1">
      <protection hidden="1"/>
    </xf>
    <xf numFmtId="0" fontId="0" fillId="29" borderId="34" xfId="0" applyFill="1" applyBorder="1" applyProtection="1">
      <protection hidden="1"/>
    </xf>
    <xf numFmtId="1" fontId="0" fillId="29" borderId="66" xfId="0" applyNumberFormat="1" applyFill="1" applyBorder="1" applyAlignment="1" applyProtection="1">
      <alignment horizontal="center"/>
      <protection locked="0"/>
    </xf>
    <xf numFmtId="0" fontId="36" fillId="0" borderId="0" xfId="0" applyFont="1" applyAlignment="1" applyProtection="1">
      <alignment horizontal="center"/>
      <protection hidden="1"/>
    </xf>
    <xf numFmtId="0" fontId="31" fillId="0" borderId="0" xfId="0" applyFont="1" applyAlignment="1" applyProtection="1">
      <alignment horizontal="right"/>
      <protection hidden="1"/>
    </xf>
    <xf numFmtId="0" fontId="34" fillId="0" borderId="58" xfId="45" applyFont="1" applyBorder="1" applyAlignment="1" applyProtection="1">
      <alignment horizontal="center" vertical="center"/>
      <protection hidden="1"/>
    </xf>
    <xf numFmtId="0" fontId="34" fillId="0" borderId="0" xfId="45" applyFont="1" applyAlignment="1" applyProtection="1">
      <alignment horizontal="center"/>
      <protection hidden="1"/>
    </xf>
    <xf numFmtId="0" fontId="34" fillId="0" borderId="0" xfId="45" applyFont="1" applyAlignment="1" applyProtection="1">
      <protection hidden="1"/>
    </xf>
    <xf numFmtId="0" fontId="0" fillId="0" borderId="73" xfId="0" applyBorder="1" applyAlignment="1" applyProtection="1">
      <alignment horizontal="center"/>
      <protection hidden="1"/>
    </xf>
    <xf numFmtId="0" fontId="0" fillId="0" borderId="35" xfId="0" applyBorder="1" applyAlignment="1" applyProtection="1">
      <alignment horizontal="center"/>
      <protection hidden="1"/>
    </xf>
    <xf numFmtId="0" fontId="0" fillId="0" borderId="66" xfId="0" applyBorder="1" applyAlignment="1" applyProtection="1">
      <alignment horizontal="center"/>
      <protection locked="0"/>
    </xf>
    <xf numFmtId="0" fontId="0" fillId="0" borderId="52" xfId="0" applyBorder="1" applyAlignment="1" applyProtection="1">
      <alignment horizontal="center"/>
      <protection locked="0"/>
    </xf>
    <xf numFmtId="4" fontId="0" fillId="25" borderId="38" xfId="0" applyNumberFormat="1" applyFill="1" applyBorder="1" applyProtection="1">
      <protection locked="0"/>
    </xf>
    <xf numFmtId="4" fontId="0" fillId="25" borderId="43" xfId="0" applyNumberFormat="1" applyFill="1" applyBorder="1" applyProtection="1">
      <protection locked="0"/>
    </xf>
    <xf numFmtId="4" fontId="0" fillId="25" borderId="49" xfId="0" applyNumberFormat="1" applyFill="1" applyBorder="1" applyProtection="1">
      <protection locked="0"/>
    </xf>
    <xf numFmtId="0" fontId="0" fillId="0" borderId="0" xfId="0" applyAlignment="1" applyProtection="1">
      <alignment horizontal="left"/>
      <protection locked="0"/>
    </xf>
    <xf numFmtId="168" fontId="1" fillId="0" borderId="31" xfId="0" applyNumberFormat="1" applyFont="1" applyBorder="1" applyProtection="1">
      <protection locked="0"/>
    </xf>
    <xf numFmtId="167" fontId="0" fillId="0" borderId="31" xfId="0" applyNumberFormat="1" applyBorder="1" applyProtection="1">
      <protection locked="0"/>
    </xf>
    <xf numFmtId="169" fontId="0" fillId="0" borderId="31" xfId="0" applyNumberFormat="1" applyBorder="1" applyProtection="1">
      <protection locked="0"/>
    </xf>
    <xf numFmtId="170" fontId="0" fillId="0" borderId="31" xfId="0" applyNumberFormat="1" applyBorder="1" applyProtection="1">
      <protection locked="0"/>
    </xf>
    <xf numFmtId="168" fontId="0" fillId="0" borderId="31" xfId="0" applyNumberFormat="1" applyBorder="1" applyProtection="1">
      <protection locked="0"/>
    </xf>
    <xf numFmtId="166" fontId="1" fillId="29" borderId="31" xfId="52" applyNumberFormat="1" applyFont="1" applyFill="1" applyBorder="1" applyAlignment="1" applyProtection="1">
      <alignment horizontal="center"/>
    </xf>
    <xf numFmtId="164" fontId="0" fillId="0" borderId="57" xfId="0" applyNumberFormat="1" applyBorder="1" applyAlignment="1" applyProtection="1">
      <alignment horizontal="center"/>
      <protection locked="0"/>
    </xf>
    <xf numFmtId="164" fontId="0" fillId="0" borderId="60" xfId="0" applyNumberFormat="1" applyBorder="1" applyAlignment="1" applyProtection="1">
      <alignment horizontal="center"/>
      <protection locked="0"/>
    </xf>
    <xf numFmtId="9" fontId="0" fillId="0" borderId="38" xfId="0" applyNumberFormat="1" applyBorder="1" applyProtection="1">
      <protection hidden="1"/>
    </xf>
    <xf numFmtId="9" fontId="0" fillId="0" borderId="43" xfId="0" applyNumberFormat="1" applyBorder="1" applyProtection="1">
      <protection hidden="1"/>
    </xf>
    <xf numFmtId="9" fontId="0" fillId="0" borderId="49" xfId="0" applyNumberFormat="1" applyBorder="1" applyProtection="1">
      <protection hidden="1"/>
    </xf>
    <xf numFmtId="0" fontId="0" fillId="0" borderId="56" xfId="0" applyBorder="1" applyProtection="1">
      <protection hidden="1"/>
    </xf>
    <xf numFmtId="9" fontId="0" fillId="0" borderId="66" xfId="52" applyFont="1" applyBorder="1" applyProtection="1">
      <protection hidden="1"/>
    </xf>
    <xf numFmtId="9" fontId="0" fillId="0" borderId="56" xfId="0" applyNumberFormat="1" applyBorder="1" applyProtection="1">
      <protection hidden="1"/>
    </xf>
    <xf numFmtId="3" fontId="1" fillId="29" borderId="31" xfId="0" applyNumberFormat="1" applyFont="1" applyFill="1" applyBorder="1" applyProtection="1">
      <protection hidden="1"/>
    </xf>
    <xf numFmtId="4" fontId="0" fillId="0" borderId="31" xfId="0" applyNumberFormat="1" applyBorder="1" applyProtection="1">
      <protection hidden="1"/>
    </xf>
    <xf numFmtId="10" fontId="0" fillId="0" borderId="15" xfId="0" applyNumberFormat="1" applyBorder="1" applyProtection="1">
      <protection locked="0"/>
    </xf>
    <xf numFmtId="10" fontId="0" fillId="0" borderId="57" xfId="0" applyNumberFormat="1" applyBorder="1" applyProtection="1">
      <protection locked="0"/>
    </xf>
    <xf numFmtId="10" fontId="0" fillId="0" borderId="76" xfId="0" applyNumberFormat="1" applyBorder="1" applyProtection="1">
      <protection locked="0"/>
    </xf>
    <xf numFmtId="10" fontId="0" fillId="0" borderId="60" xfId="0" applyNumberFormat="1" applyBorder="1" applyProtection="1">
      <protection locked="0"/>
    </xf>
    <xf numFmtId="10" fontId="0" fillId="0" borderId="38" xfId="0" applyNumberFormat="1" applyBorder="1" applyProtection="1">
      <protection locked="0"/>
    </xf>
    <xf numFmtId="10" fontId="0" fillId="0" borderId="49" xfId="0" applyNumberFormat="1" applyBorder="1" applyProtection="1">
      <protection locked="0"/>
    </xf>
    <xf numFmtId="10" fontId="0" fillId="0" borderId="75" xfId="0" applyNumberFormat="1" applyBorder="1" applyProtection="1">
      <protection locked="0"/>
    </xf>
    <xf numFmtId="10" fontId="0" fillId="0" borderId="29" xfId="0" applyNumberFormat="1" applyBorder="1" applyProtection="1">
      <protection locked="0"/>
    </xf>
    <xf numFmtId="10" fontId="0" fillId="0" borderId="16" xfId="0" applyNumberFormat="1" applyBorder="1" applyProtection="1">
      <protection locked="0"/>
    </xf>
    <xf numFmtId="10" fontId="0" fillId="0" borderId="37" xfId="0" applyNumberFormat="1" applyBorder="1" applyProtection="1">
      <protection locked="0"/>
    </xf>
    <xf numFmtId="166" fontId="0" fillId="0" borderId="0" xfId="0" applyNumberFormat="1" applyProtection="1">
      <protection hidden="1"/>
    </xf>
    <xf numFmtId="0" fontId="6" fillId="28" borderId="32" xfId="0" applyFont="1" applyFill="1" applyBorder="1" applyAlignment="1" applyProtection="1">
      <alignment horizontal="left" wrapText="1"/>
      <protection hidden="1"/>
    </xf>
    <xf numFmtId="0" fontId="6" fillId="28" borderId="10" xfId="0" applyFont="1" applyFill="1" applyBorder="1" applyAlignment="1" applyProtection="1">
      <alignment horizontal="left" wrapText="1"/>
      <protection hidden="1"/>
    </xf>
    <xf numFmtId="0" fontId="1" fillId="0" borderId="46" xfId="0" applyFont="1" applyBorder="1" applyAlignment="1" applyProtection="1">
      <alignment horizontal="center"/>
      <protection hidden="1"/>
    </xf>
    <xf numFmtId="0" fontId="1" fillId="0" borderId="52" xfId="0" applyFont="1" applyBorder="1" applyAlignment="1" applyProtection="1">
      <alignment horizontal="center"/>
      <protection hidden="1"/>
    </xf>
    <xf numFmtId="0" fontId="0" fillId="0" borderId="0" xfId="0" applyAlignment="1" applyProtection="1">
      <alignment horizontal="left" vertical="top" wrapText="1"/>
      <protection hidden="1"/>
    </xf>
    <xf numFmtId="0" fontId="0" fillId="0" borderId="32" xfId="0" applyBorder="1" applyAlignment="1" applyProtection="1">
      <alignment horizontal="left"/>
      <protection locked="0"/>
    </xf>
    <xf numFmtId="0" fontId="0" fillId="0" borderId="58" xfId="0" applyBorder="1" applyAlignment="1" applyProtection="1">
      <alignment horizontal="left"/>
      <protection locked="0"/>
    </xf>
    <xf numFmtId="0" fontId="29" fillId="27" borderId="46" xfId="0" applyFont="1" applyFill="1" applyBorder="1" applyAlignment="1" applyProtection="1">
      <alignment horizontal="center" vertical="center" wrapText="1"/>
      <protection hidden="1"/>
    </xf>
    <xf numFmtId="0" fontId="29" fillId="27" borderId="51" xfId="0" applyFont="1" applyFill="1" applyBorder="1" applyAlignment="1" applyProtection="1">
      <alignment horizontal="center" vertical="center"/>
      <protection hidden="1"/>
    </xf>
    <xf numFmtId="0" fontId="29" fillId="27" borderId="52" xfId="0" applyFont="1" applyFill="1" applyBorder="1" applyAlignment="1" applyProtection="1">
      <alignment horizontal="center" vertical="center"/>
      <protection hidden="1"/>
    </xf>
    <xf numFmtId="49" fontId="3" fillId="25" borderId="32" xfId="0" applyNumberFormat="1" applyFont="1" applyFill="1" applyBorder="1" applyAlignment="1" applyProtection="1">
      <alignment horizontal="center"/>
      <protection locked="0"/>
    </xf>
    <xf numFmtId="49" fontId="3" fillId="25" borderId="58" xfId="0" applyNumberFormat="1" applyFont="1" applyFill="1" applyBorder="1" applyAlignment="1" applyProtection="1">
      <alignment horizontal="center"/>
      <protection locked="0"/>
    </xf>
    <xf numFmtId="0" fontId="34" fillId="0" borderId="0" xfId="45" applyFont="1" applyAlignment="1" applyProtection="1">
      <alignment horizontal="center"/>
      <protection hidden="1"/>
    </xf>
    <xf numFmtId="3" fontId="31" fillId="0" borderId="32" xfId="0" applyNumberFormat="1" applyFont="1" applyBorder="1" applyAlignment="1" applyProtection="1">
      <alignment horizontal="left"/>
      <protection locked="0"/>
    </xf>
    <xf numFmtId="3" fontId="31" fillId="0" borderId="58" xfId="0" applyNumberFormat="1" applyFont="1" applyBorder="1" applyAlignment="1" applyProtection="1">
      <alignment horizontal="left"/>
      <protection locked="0"/>
    </xf>
    <xf numFmtId="0" fontId="34" fillId="0" borderId="0" xfId="45" applyFont="1" applyAlignment="1" applyProtection="1">
      <alignment horizontal="left"/>
      <protection hidden="1"/>
    </xf>
    <xf numFmtId="0" fontId="30" fillId="27" borderId="51" xfId="0" applyFont="1" applyFill="1" applyBorder="1" applyAlignment="1" applyProtection="1">
      <alignment horizontal="center" vertical="center" wrapText="1"/>
      <protection hidden="1"/>
    </xf>
    <xf numFmtId="0" fontId="30" fillId="27" borderId="51" xfId="0" applyFont="1" applyFill="1" applyBorder="1" applyAlignment="1" applyProtection="1">
      <alignment horizontal="center" vertical="center"/>
      <protection hidden="1"/>
    </xf>
    <xf numFmtId="0" fontId="2" fillId="29" borderId="32" xfId="0" applyFont="1" applyFill="1" applyBorder="1" applyAlignment="1" applyProtection="1">
      <alignment horizontal="left"/>
      <protection locked="0"/>
    </xf>
    <xf numFmtId="0" fontId="2" fillId="29" borderId="58" xfId="0" applyFont="1" applyFill="1" applyBorder="1" applyAlignment="1" applyProtection="1">
      <alignment horizontal="left"/>
      <protection locked="0"/>
    </xf>
    <xf numFmtId="3" fontId="26" fillId="0" borderId="50" xfId="0" applyNumberFormat="1" applyFont="1" applyBorder="1" applyAlignment="1" applyProtection="1">
      <alignment horizontal="center"/>
      <protection locked="0"/>
    </xf>
    <xf numFmtId="3" fontId="26" fillId="0" borderId="77" xfId="0" applyNumberFormat="1" applyFont="1" applyBorder="1" applyAlignment="1" applyProtection="1">
      <alignment horizontal="center"/>
      <protection locked="0"/>
    </xf>
    <xf numFmtId="3" fontId="26" fillId="0" borderId="33" xfId="0" applyNumberFormat="1" applyFont="1" applyBorder="1" applyAlignment="1" applyProtection="1">
      <alignment horizontal="center"/>
      <protection locked="0"/>
    </xf>
    <xf numFmtId="3" fontId="26" fillId="0" borderId="73" xfId="0" applyNumberFormat="1" applyFont="1" applyBorder="1" applyAlignment="1" applyProtection="1">
      <alignment horizontal="center"/>
      <protection locked="0"/>
    </xf>
    <xf numFmtId="3" fontId="31" fillId="0" borderId="32" xfId="0" applyNumberFormat="1" applyFont="1" applyBorder="1" applyAlignment="1" applyProtection="1">
      <alignment horizontal="left"/>
      <protection hidden="1"/>
    </xf>
    <xf numFmtId="3" fontId="31" fillId="0" borderId="58" xfId="0" applyNumberFormat="1" applyFont="1" applyBorder="1" applyAlignment="1" applyProtection="1">
      <alignment horizontal="left"/>
      <protection hidden="1"/>
    </xf>
    <xf numFmtId="0" fontId="0" fillId="0" borderId="77" xfId="0" applyBorder="1" applyAlignment="1" applyProtection="1">
      <alignment horizontal="center"/>
      <protection locked="0"/>
    </xf>
    <xf numFmtId="0" fontId="0" fillId="0" borderId="22" xfId="0" applyBorder="1" applyAlignment="1" applyProtection="1">
      <alignment horizontal="center"/>
      <protection locked="0"/>
    </xf>
    <xf numFmtId="0" fontId="2" fillId="0" borderId="24" xfId="0" applyFont="1" applyBorder="1" applyAlignment="1" applyProtection="1">
      <alignment horizontal="center" vertical="center"/>
      <protection hidden="1"/>
    </xf>
    <xf numFmtId="0" fontId="2" fillId="0" borderId="75" xfId="0" applyFont="1" applyBorder="1" applyAlignment="1" applyProtection="1">
      <alignment horizontal="center" vertical="center"/>
      <protection hidden="1"/>
    </xf>
    <xf numFmtId="0" fontId="23" fillId="27" borderId="46" xfId="0" applyFont="1" applyFill="1" applyBorder="1" applyAlignment="1" applyProtection="1">
      <alignment horizontal="center" vertical="center"/>
      <protection hidden="1"/>
    </xf>
    <xf numFmtId="0" fontId="23" fillId="27" borderId="51" xfId="0" applyFont="1" applyFill="1" applyBorder="1" applyAlignment="1" applyProtection="1">
      <alignment horizontal="center" vertical="center"/>
      <protection hidden="1"/>
    </xf>
    <xf numFmtId="0" fontId="23" fillId="27" borderId="52" xfId="0" applyFont="1" applyFill="1" applyBorder="1" applyAlignment="1" applyProtection="1">
      <alignment horizontal="center" vertical="center"/>
      <protection hidden="1"/>
    </xf>
    <xf numFmtId="0" fontId="6" fillId="27" borderId="10" xfId="0" applyFont="1" applyFill="1" applyBorder="1" applyAlignment="1" applyProtection="1">
      <alignment horizontal="center" wrapText="1"/>
      <protection hidden="1"/>
    </xf>
    <xf numFmtId="0" fontId="6" fillId="27" borderId="58" xfId="0" applyFont="1" applyFill="1" applyBorder="1" applyAlignment="1" applyProtection="1">
      <alignment horizontal="center" wrapText="1"/>
      <protection hidden="1"/>
    </xf>
    <xf numFmtId="0" fontId="0" fillId="29" borderId="77" xfId="0" applyFill="1" applyBorder="1" applyAlignment="1" applyProtection="1">
      <alignment horizontal="center"/>
      <protection hidden="1"/>
    </xf>
    <xf numFmtId="0" fontId="0" fillId="29" borderId="22" xfId="0" applyFill="1" applyBorder="1" applyAlignment="1" applyProtection="1">
      <alignment horizontal="center"/>
      <protection hidden="1"/>
    </xf>
    <xf numFmtId="0" fontId="0" fillId="29" borderId="38" xfId="0" applyFill="1" applyBorder="1" applyAlignment="1" applyProtection="1">
      <alignment horizontal="center"/>
      <protection hidden="1"/>
    </xf>
    <xf numFmtId="0" fontId="2" fillId="29" borderId="24" xfId="0" applyFont="1" applyFill="1" applyBorder="1" applyAlignment="1" applyProtection="1">
      <alignment horizontal="center" vertical="center"/>
      <protection hidden="1"/>
    </xf>
    <xf numFmtId="0" fontId="2" fillId="29" borderId="75" xfId="0" applyFont="1" applyFill="1" applyBorder="1" applyAlignment="1" applyProtection="1">
      <alignment horizontal="center" vertical="center"/>
      <protection hidden="1"/>
    </xf>
  </cellXfs>
  <cellStyles count="72">
    <cellStyle name="20% - Akzent1 2" xfId="1" xr:uid="{00000000-0005-0000-0000-000000000000}"/>
    <cellStyle name="20% - Akzent2 2" xfId="2" xr:uid="{00000000-0005-0000-0000-000001000000}"/>
    <cellStyle name="20% - Akzent3 2" xfId="3" xr:uid="{00000000-0005-0000-0000-000002000000}"/>
    <cellStyle name="20% - Akzent4 2" xfId="4" xr:uid="{00000000-0005-0000-0000-000003000000}"/>
    <cellStyle name="20% - Akzent5 2" xfId="5" xr:uid="{00000000-0005-0000-0000-000004000000}"/>
    <cellStyle name="20% - Akzent6 2" xfId="6" xr:uid="{00000000-0005-0000-0000-000005000000}"/>
    <cellStyle name="40% - Akzent1 2" xfId="7" xr:uid="{00000000-0005-0000-0000-000006000000}"/>
    <cellStyle name="40% - Akzent2 2" xfId="8" xr:uid="{00000000-0005-0000-0000-000007000000}"/>
    <cellStyle name="40% - Akzent3 2" xfId="9" xr:uid="{00000000-0005-0000-0000-000008000000}"/>
    <cellStyle name="40% - Akzent4 2" xfId="10" xr:uid="{00000000-0005-0000-0000-000009000000}"/>
    <cellStyle name="40% - Akzent5 2" xfId="11" xr:uid="{00000000-0005-0000-0000-00000A000000}"/>
    <cellStyle name="40% - Akzent6 2" xfId="12" xr:uid="{00000000-0005-0000-0000-00000B000000}"/>
    <cellStyle name="60% - Akzent1 2" xfId="13" xr:uid="{00000000-0005-0000-0000-00000C000000}"/>
    <cellStyle name="60% - Akzent2 2" xfId="14" xr:uid="{00000000-0005-0000-0000-00000D000000}"/>
    <cellStyle name="60% - Akzent3 2" xfId="15" xr:uid="{00000000-0005-0000-0000-00000E000000}"/>
    <cellStyle name="60% - Akzent4 2" xfId="16" xr:uid="{00000000-0005-0000-0000-00000F000000}"/>
    <cellStyle name="60% - Akzent5 2" xfId="17" xr:uid="{00000000-0005-0000-0000-000010000000}"/>
    <cellStyle name="60% - Akzent6 2" xfId="18" xr:uid="{00000000-0005-0000-0000-000011000000}"/>
    <cellStyle name="Akzent1" xfId="19" builtinId="29" customBuiltin="1"/>
    <cellStyle name="Akzent1 2" xfId="20" xr:uid="{00000000-0005-0000-0000-000013000000}"/>
    <cellStyle name="Akzent2" xfId="21" builtinId="33" customBuiltin="1"/>
    <cellStyle name="Akzent2 2" xfId="22" xr:uid="{00000000-0005-0000-0000-000015000000}"/>
    <cellStyle name="Akzent3" xfId="23" builtinId="37" customBuiltin="1"/>
    <cellStyle name="Akzent3 2" xfId="24" xr:uid="{00000000-0005-0000-0000-000017000000}"/>
    <cellStyle name="Akzent4" xfId="25" builtinId="41" customBuiltin="1"/>
    <cellStyle name="Akzent4 2" xfId="26" xr:uid="{00000000-0005-0000-0000-000019000000}"/>
    <cellStyle name="Akzent5" xfId="27" builtinId="45" customBuiltin="1"/>
    <cellStyle name="Akzent5 2" xfId="28" xr:uid="{00000000-0005-0000-0000-00001B000000}"/>
    <cellStyle name="Akzent6" xfId="29" builtinId="49" customBuiltin="1"/>
    <cellStyle name="Akzent6 2" xfId="30" xr:uid="{00000000-0005-0000-0000-00001D000000}"/>
    <cellStyle name="Ausgabe" xfId="31" builtinId="21" customBuiltin="1"/>
    <cellStyle name="Ausgabe 2" xfId="32" xr:uid="{00000000-0005-0000-0000-00001F000000}"/>
    <cellStyle name="Berechnung" xfId="33" builtinId="22" customBuiltin="1"/>
    <cellStyle name="Berechnung 2" xfId="34" xr:uid="{00000000-0005-0000-0000-000021000000}"/>
    <cellStyle name="Eingabe" xfId="35" builtinId="20" customBuiltin="1"/>
    <cellStyle name="Eingabe 2" xfId="36" xr:uid="{00000000-0005-0000-0000-000023000000}"/>
    <cellStyle name="Ergebnis" xfId="37" builtinId="25" customBuiltin="1"/>
    <cellStyle name="Ergebnis 1" xfId="38" xr:uid="{00000000-0005-0000-0000-000025000000}"/>
    <cellStyle name="Ergebnis 2" xfId="39" xr:uid="{00000000-0005-0000-0000-000026000000}"/>
    <cellStyle name="Erklärender Text" xfId="40" builtinId="53" customBuiltin="1"/>
    <cellStyle name="Erklärender Text 2" xfId="41" xr:uid="{00000000-0005-0000-0000-000028000000}"/>
    <cellStyle name="Euro" xfId="42" xr:uid="{00000000-0005-0000-0000-000029000000}"/>
    <cellStyle name="Gut" xfId="43" builtinId="26" customBuiltin="1"/>
    <cellStyle name="Gut 2" xfId="44" xr:uid="{00000000-0005-0000-0000-00002B000000}"/>
    <cellStyle name="Hyperlink 2" xfId="46" xr:uid="{00000000-0005-0000-0000-00002C000000}"/>
    <cellStyle name="Hyperlink_Fluktuationsquotenrechner_PEO" xfId="47" xr:uid="{00000000-0005-0000-0000-00002D000000}"/>
    <cellStyle name="Link" xfId="45" builtinId="8"/>
    <cellStyle name="Neutral" xfId="48" builtinId="28" customBuiltin="1"/>
    <cellStyle name="Neutral 2" xfId="49" xr:uid="{00000000-0005-0000-0000-000030000000}"/>
    <cellStyle name="Notiz" xfId="50" builtinId="10" customBuiltin="1"/>
    <cellStyle name="Notiz 2" xfId="51" xr:uid="{00000000-0005-0000-0000-000032000000}"/>
    <cellStyle name="Prozent" xfId="52" builtinId="5"/>
    <cellStyle name="Schlecht" xfId="53" builtinId="27" customBuiltin="1"/>
    <cellStyle name="Schlecht 2" xfId="54" xr:uid="{00000000-0005-0000-0000-000035000000}"/>
    <cellStyle name="Standard" xfId="0" builtinId="0"/>
    <cellStyle name="Überschrift" xfId="55" builtinId="15" customBuiltin="1"/>
    <cellStyle name="Überschrift 1" xfId="56" builtinId="16" customBuiltin="1"/>
    <cellStyle name="Überschrift 1 1" xfId="57" xr:uid="{00000000-0005-0000-0000-000039000000}"/>
    <cellStyle name="Überschrift 1 2" xfId="58" xr:uid="{00000000-0005-0000-0000-00003A000000}"/>
    <cellStyle name="Überschrift 2" xfId="59" builtinId="17" customBuiltin="1"/>
    <cellStyle name="Überschrift 2 2" xfId="60" xr:uid="{00000000-0005-0000-0000-00003C000000}"/>
    <cellStyle name="Überschrift 3" xfId="61" builtinId="18" customBuiltin="1"/>
    <cellStyle name="Überschrift 3 2" xfId="62" xr:uid="{00000000-0005-0000-0000-00003E000000}"/>
    <cellStyle name="Überschrift 4" xfId="63" builtinId="19" customBuiltin="1"/>
    <cellStyle name="Überschrift 4 2" xfId="64" xr:uid="{00000000-0005-0000-0000-000040000000}"/>
    <cellStyle name="Überschrift 5" xfId="65" xr:uid="{00000000-0005-0000-0000-000041000000}"/>
    <cellStyle name="Verknüpfte Zelle" xfId="66" builtinId="24" customBuiltin="1"/>
    <cellStyle name="Verknüpfte Zelle 2" xfId="67" xr:uid="{00000000-0005-0000-0000-000043000000}"/>
    <cellStyle name="Warnender Text" xfId="68" builtinId="11" customBuiltin="1"/>
    <cellStyle name="Warnender Text 2" xfId="69" xr:uid="{00000000-0005-0000-0000-000045000000}"/>
    <cellStyle name="Zelle überprüfen" xfId="70" builtinId="23" customBuiltin="1"/>
    <cellStyle name="Zelle überprüfen 2" xfId="71" xr:uid="{00000000-0005-0000-0000-000047000000}"/>
  </cellStyles>
  <dxfs count="13">
    <dxf>
      <font>
        <condense val="0"/>
        <extend val="0"/>
        <color indexed="9"/>
      </font>
      <border>
        <left/>
        <right/>
        <top/>
        <bottom/>
      </border>
    </dxf>
    <dxf>
      <font>
        <condense val="0"/>
        <extend val="0"/>
        <color indexed="9"/>
      </font>
      <border>
        <left/>
        <right/>
        <top/>
        <bottom/>
      </border>
    </dxf>
    <dxf>
      <fill>
        <patternFill>
          <bgColor indexed="53"/>
        </patternFill>
      </fill>
    </dxf>
    <dxf>
      <font>
        <condense val="0"/>
        <extend val="0"/>
        <color indexed="9"/>
      </font>
      <border>
        <left/>
        <right/>
        <top/>
        <bottom/>
      </border>
    </dxf>
    <dxf>
      <fill>
        <patternFill>
          <bgColor indexed="53"/>
        </patternFill>
      </fill>
      <border>
        <left style="thin">
          <color indexed="64"/>
        </left>
        <right style="thin">
          <color indexed="64"/>
        </right>
        <top style="thin">
          <color indexed="64"/>
        </top>
        <bottom style="thin">
          <color indexed="64"/>
        </bottom>
      </border>
    </dxf>
    <dxf>
      <border>
        <left/>
        <right/>
      </border>
    </dxf>
    <dxf>
      <fill>
        <patternFill patternType="none">
          <bgColor indexed="65"/>
        </patternFill>
      </fill>
      <border>
        <left/>
        <right style="thin">
          <color indexed="64"/>
        </right>
      </border>
    </dxf>
    <dxf>
      <border>
        <left/>
        <right/>
      </border>
    </dxf>
    <dxf>
      <font>
        <condense val="0"/>
        <extend val="0"/>
        <color indexed="9"/>
      </font>
      <fill>
        <patternFill patternType="none">
          <bgColor indexed="65"/>
        </patternFill>
      </fill>
      <border>
        <left/>
      </border>
    </dxf>
    <dxf>
      <border>
        <left/>
      </border>
    </dxf>
    <dxf>
      <border>
        <right/>
      </border>
    </dxf>
    <dxf>
      <font>
        <condense val="0"/>
        <extend val="0"/>
        <color indexed="9"/>
      </font>
      <border>
        <left/>
        <right/>
        <top/>
        <bottom/>
      </border>
    </dxf>
    <dxf>
      <font>
        <condense val="0"/>
        <extend val="0"/>
        <color indexed="9"/>
      </font>
      <border>
        <left/>
        <right/>
        <top/>
        <bottom/>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EAF7D9"/>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6B9535"/>
      <rgbColor rgb="00CC99FF"/>
      <rgbColor rgb="00FFCC99"/>
      <rgbColor rgb="003366FF"/>
      <rgbColor rgb="0033CCCC"/>
      <rgbColor rgb="00EBEBEB"/>
      <rgbColor rgb="00FFCC00"/>
      <rgbColor rgb="006B9535"/>
      <rgbColor rgb="00E6F1F7"/>
      <rgbColor rgb="00666699"/>
      <rgbColor rgb="00969696"/>
      <rgbColor rgb="00003366"/>
      <rgbColor rgb="00339966"/>
      <rgbColor rgb="00003300"/>
      <rgbColor rgb="007AB031"/>
      <rgbColor rgb="000668AF"/>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microsoft.com/office/2006/relationships/vbaProject" Target="vbaProject.bin"/><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0924399631257745"/>
          <c:y val="6.7073170731707321E-2"/>
          <c:w val="0.77311135851977886"/>
          <c:h val="0.66463414634146345"/>
        </c:manualLayout>
      </c:layout>
      <c:pie3DChart>
        <c:varyColors val="1"/>
        <c:ser>
          <c:idx val="0"/>
          <c:order val="0"/>
          <c:spPr>
            <a:solidFill>
              <a:srgbClr val="9999FF"/>
            </a:solidFill>
            <a:ln w="12700">
              <a:solidFill>
                <a:srgbClr val="000000"/>
              </a:solidFill>
              <a:prstDash val="solid"/>
            </a:ln>
          </c:spPr>
          <c:explosion val="25"/>
          <c:dPt>
            <c:idx val="0"/>
            <c:bubble3D val="0"/>
            <c:spPr>
              <a:solidFill>
                <a:srgbClr val="6B9535"/>
              </a:solidFill>
              <a:ln w="12700">
                <a:solidFill>
                  <a:srgbClr val="000000"/>
                </a:solidFill>
                <a:prstDash val="solid"/>
              </a:ln>
            </c:spPr>
            <c:extLst>
              <c:ext xmlns:c16="http://schemas.microsoft.com/office/drawing/2014/chart" uri="{C3380CC4-5D6E-409C-BE32-E72D297353CC}">
                <c16:uniqueId val="{00000000-0DEF-40BA-B028-62C009938471}"/>
              </c:ext>
            </c:extLst>
          </c:dPt>
          <c:dPt>
            <c:idx val="1"/>
            <c:bubble3D val="0"/>
            <c:spPr>
              <a:solidFill>
                <a:srgbClr val="0668AF"/>
              </a:solidFill>
              <a:ln w="12700">
                <a:solidFill>
                  <a:srgbClr val="000000"/>
                </a:solidFill>
                <a:prstDash val="solid"/>
              </a:ln>
            </c:spPr>
            <c:extLst>
              <c:ext xmlns:c16="http://schemas.microsoft.com/office/drawing/2014/chart" uri="{C3380CC4-5D6E-409C-BE32-E72D297353CC}">
                <c16:uniqueId val="{00000001-0DEF-40BA-B028-62C009938471}"/>
              </c:ext>
            </c:extLst>
          </c:dPt>
          <c:dPt>
            <c:idx val="2"/>
            <c:bubble3D val="0"/>
            <c:spPr>
              <a:solidFill>
                <a:srgbClr val="E6F1F7"/>
              </a:solidFill>
              <a:ln w="12700">
                <a:solidFill>
                  <a:srgbClr val="000000"/>
                </a:solidFill>
                <a:prstDash val="solid"/>
              </a:ln>
            </c:spPr>
            <c:extLst>
              <c:ext xmlns:c16="http://schemas.microsoft.com/office/drawing/2014/chart" uri="{C3380CC4-5D6E-409C-BE32-E72D297353CC}">
                <c16:uniqueId val="{00000002-0DEF-40BA-B028-62C009938471}"/>
              </c:ext>
            </c:extLst>
          </c:dPt>
          <c:cat>
            <c:strRef>
              <c:f>Berechnung!$L$55:$L$57</c:f>
              <c:strCache>
                <c:ptCount val="3"/>
                <c:pt idx="0">
                  <c:v>Leasing</c:v>
                </c:pt>
                <c:pt idx="1">
                  <c:v>Kfz-Kosten</c:v>
                </c:pt>
                <c:pt idx="2">
                  <c:v>Sozialvers.</c:v>
                </c:pt>
              </c:strCache>
            </c:strRef>
          </c:cat>
          <c:val>
            <c:numRef>
              <c:f>Berechnung!$M$55:$M$57</c:f>
              <c:numCache>
                <c:formatCode>#,##0</c:formatCode>
                <c:ptCount val="3"/>
                <c:pt idx="0">
                  <c:v>0</c:v>
                </c:pt>
                <c:pt idx="1">
                  <c:v>0</c:v>
                </c:pt>
                <c:pt idx="2">
                  <c:v>0</c:v>
                </c:pt>
              </c:numCache>
            </c:numRef>
          </c:val>
          <c:extLst>
            <c:ext xmlns:c16="http://schemas.microsoft.com/office/drawing/2014/chart" uri="{C3380CC4-5D6E-409C-BE32-E72D297353CC}">
              <c16:uniqueId val="{00000003-0DEF-40BA-B028-62C009938471}"/>
            </c:ext>
          </c:extLst>
        </c:ser>
        <c:dLbls>
          <c:showLegendKey val="0"/>
          <c:showVal val="0"/>
          <c:showCatName val="0"/>
          <c:showSerName val="0"/>
          <c:showPercent val="0"/>
          <c:showBubbleSize val="0"/>
          <c:showLeaderLines val="1"/>
        </c:dLbls>
      </c:pie3DChart>
      <c:spPr>
        <a:noFill/>
        <a:ln w="25400">
          <a:noFill/>
        </a:ln>
      </c:spPr>
    </c:plotArea>
    <c:legend>
      <c:legendPos val="r"/>
      <c:layout>
        <c:manualLayout>
          <c:xMode val="edge"/>
          <c:yMode val="edge"/>
          <c:x val="0.18487445529820798"/>
          <c:y val="0.84146341463414631"/>
          <c:w val="0.63585608110141234"/>
          <c:h val="0.13414634146341464"/>
        </c:manualLayout>
      </c:layout>
      <c:overlay val="0"/>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de-DE"/>
        </a:p>
      </c:txPr>
    </c:legend>
    <c:plotVisOnly val="1"/>
    <c:dispBlanksAs val="zero"/>
    <c:showDLblsOverMax val="0"/>
  </c:chart>
  <c:spPr>
    <a:solidFill>
      <a:srgbClr val="FFFFFF"/>
    </a:solidFill>
    <a:ln w="9525">
      <a:noFill/>
    </a:ln>
  </c:spPr>
  <c:txPr>
    <a:bodyPr/>
    <a:lstStyle/>
    <a:p>
      <a:pPr>
        <a:defRPr sz="4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3" verticalDpi="0"/>
  </c:printSettings>
</c:chartSpace>
</file>

<file path=xl/ctrlProps/ctrlProp1.xml><?xml version="1.0" encoding="utf-8"?>
<formControlPr xmlns="http://schemas.microsoft.com/office/spreadsheetml/2009/9/main" objectType="List" dx="22" fmlaLink="$N$9" fmlaRange="Parameter_Intern!$C$5:$C$8" noThreeD="1" sel="1" val="0"/>
</file>

<file path=xl/ctrlProps/ctrlProp2.xml><?xml version="1.0" encoding="utf-8"?>
<formControlPr xmlns="http://schemas.microsoft.com/office/spreadsheetml/2009/9/main" objectType="Radio" firstButton="1" fmlaLink="$P$6" lockText="1"/>
</file>

<file path=xl/ctrlProps/ctrlProp3.xml><?xml version="1.0" encoding="utf-8"?>
<formControlPr xmlns="http://schemas.microsoft.com/office/spreadsheetml/2009/9/main" objectType="Radio" checked="Checked" lockText="1"/>
</file>

<file path=xl/ctrlProps/ctrlProp4.xml><?xml version="1.0" encoding="utf-8"?>
<formControlPr xmlns="http://schemas.microsoft.com/office/spreadsheetml/2009/9/main" objectType="CheckBox" checked="Checked" fmlaLink="$P$26" lockText="1" noThreeD="1"/>
</file>

<file path=xl/ctrlProps/ctrlProp5.xml><?xml version="1.0" encoding="utf-8"?>
<formControlPr xmlns="http://schemas.microsoft.com/office/spreadsheetml/2009/9/main" objectType="Radio" firstButton="1" fmlaLink="$P$6" lockText="1"/>
</file>

<file path=xl/ctrlProps/ctrlProp6.xml><?xml version="1.0" encoding="utf-8"?>
<formControlPr xmlns="http://schemas.microsoft.com/office/spreadsheetml/2009/9/main" objectType="Radio" checked="Checked" lockText="1"/>
</file>

<file path=xl/ctrlProps/ctrlProp7.xml><?xml version="1.0" encoding="utf-8"?>
<formControlPr xmlns="http://schemas.microsoft.com/office/spreadsheetml/2009/9/main" objectType="CheckBox" checked="Checked" fmlaLink="$P$2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1</xdr:col>
      <xdr:colOff>9525</xdr:colOff>
      <xdr:row>5</xdr:row>
      <xdr:rowOff>0</xdr:rowOff>
    </xdr:from>
    <xdr:to>
      <xdr:col>9</xdr:col>
      <xdr:colOff>133350</xdr:colOff>
      <xdr:row>6</xdr:row>
      <xdr:rowOff>533400</xdr:rowOff>
    </xdr:to>
    <xdr:sp macro="" textlink="">
      <xdr:nvSpPr>
        <xdr:cNvPr id="20481" name="Text 2">
          <a:extLst>
            <a:ext uri="{FF2B5EF4-FFF2-40B4-BE49-F238E27FC236}">
              <a16:creationId xmlns:a16="http://schemas.microsoft.com/office/drawing/2014/main" id="{00000000-0008-0000-0000-000001500000}"/>
            </a:ext>
          </a:extLst>
        </xdr:cNvPr>
        <xdr:cNvSpPr txBox="1">
          <a:spLocks noChangeArrowheads="1"/>
        </xdr:cNvSpPr>
      </xdr:nvSpPr>
      <xdr:spPr bwMode="auto">
        <a:xfrm>
          <a:off x="771525" y="1447800"/>
          <a:ext cx="4581525" cy="695325"/>
        </a:xfrm>
        <a:prstGeom prst="rect">
          <a:avLst/>
        </a:prstGeom>
        <a:solidFill>
          <a:srgbClr val="E6F1F7"/>
        </a:solidFill>
        <a:ln w="9525">
          <a:noFill/>
          <a:miter lim="800000"/>
          <a:headEnd/>
          <a:tailEnd/>
        </a:ln>
      </xdr:spPr>
      <xdr:txBody>
        <a:bodyPr vertOverflow="clip" wrap="square" lIns="27432" tIns="22860" rIns="0" bIns="0" anchor="t" upright="1"/>
        <a:lstStyle/>
        <a:p>
          <a:pPr algn="l" rtl="0">
            <a:defRPr sz="1000"/>
          </a:pPr>
          <a:r>
            <a:rPr lang="de-DE" sz="1000" b="0" i="0" u="none" strike="noStrike" baseline="0">
              <a:solidFill>
                <a:srgbClr val="000000"/>
              </a:solidFill>
              <a:latin typeface="Arial"/>
              <a:cs typeface="Arial"/>
            </a:rPr>
            <a:t>Mit dem "</a:t>
          </a:r>
          <a:r>
            <a:rPr lang="de-DE" sz="1000" b="1" i="0" u="none" strike="noStrike" baseline="0">
              <a:solidFill>
                <a:srgbClr val="000000"/>
              </a:solidFill>
              <a:latin typeface="Arial"/>
              <a:cs typeface="Arial"/>
            </a:rPr>
            <a:t>Firmenwagenrechner - Arbeitgeberkosten bei Privatnutzung</a:t>
          </a:r>
          <a:r>
            <a:rPr lang="de-DE" sz="1000" b="0" i="0" u="none" strike="noStrike" baseline="0">
              <a:solidFill>
                <a:srgbClr val="000000"/>
              </a:solidFill>
              <a:latin typeface="Arial"/>
              <a:cs typeface="Arial"/>
            </a:rPr>
            <a:t>" können Sie kalkulieren, welche zusätzlichen Kosten mit der Bereitstellung eines Dienstfahrzeuges verbunden sind, wenn Ihr Mitarbeiter dies auch privat nutzen kann.</a:t>
          </a:r>
        </a:p>
      </xdr:txBody>
    </xdr:sp>
    <xdr:clientData/>
  </xdr:twoCellAnchor>
  <xdr:twoCellAnchor>
    <xdr:from>
      <xdr:col>6</xdr:col>
      <xdr:colOff>47625</xdr:colOff>
      <xdr:row>16</xdr:row>
      <xdr:rowOff>0</xdr:rowOff>
    </xdr:from>
    <xdr:to>
      <xdr:col>7</xdr:col>
      <xdr:colOff>85725</xdr:colOff>
      <xdr:row>17</xdr:row>
      <xdr:rowOff>9525</xdr:rowOff>
    </xdr:to>
    <xdr:sp macro="" textlink="">
      <xdr:nvSpPr>
        <xdr:cNvPr id="20507" name="AutoShape 4">
          <a:extLst>
            <a:ext uri="{FF2B5EF4-FFF2-40B4-BE49-F238E27FC236}">
              <a16:creationId xmlns:a16="http://schemas.microsoft.com/office/drawing/2014/main" id="{00000000-0008-0000-0000-00001B500000}"/>
            </a:ext>
          </a:extLst>
        </xdr:cNvPr>
        <xdr:cNvSpPr>
          <a:spLocks noChangeArrowheads="1"/>
        </xdr:cNvSpPr>
      </xdr:nvSpPr>
      <xdr:spPr bwMode="auto">
        <a:xfrm rot="5400000">
          <a:off x="3381375" y="4048125"/>
          <a:ext cx="495300" cy="209550"/>
        </a:xfrm>
        <a:prstGeom prst="triangle">
          <a:avLst>
            <a:gd name="adj" fmla="val 50000"/>
          </a:avLst>
        </a:prstGeom>
        <a:solidFill>
          <a:srgbClr val="6B9535"/>
        </a:solidFill>
        <a:ln w="9525">
          <a:solidFill>
            <a:srgbClr val="000000"/>
          </a:solidFill>
          <a:miter lim="800000"/>
          <a:headEnd/>
          <a:tailEnd/>
        </a:ln>
      </xdr:spPr>
    </xdr:sp>
    <xdr:clientData/>
  </xdr:twoCellAnchor>
  <xdr:twoCellAnchor>
    <xdr:from>
      <xdr:col>1</xdr:col>
      <xdr:colOff>0</xdr:colOff>
      <xdr:row>20</xdr:row>
      <xdr:rowOff>0</xdr:rowOff>
    </xdr:from>
    <xdr:to>
      <xdr:col>10</xdr:col>
      <xdr:colOff>0</xdr:colOff>
      <xdr:row>37</xdr:row>
      <xdr:rowOff>95250</xdr:rowOff>
    </xdr:to>
    <xdr:grpSp>
      <xdr:nvGrpSpPr>
        <xdr:cNvPr id="20508" name="Group 3">
          <a:extLst>
            <a:ext uri="{FF2B5EF4-FFF2-40B4-BE49-F238E27FC236}">
              <a16:creationId xmlns:a16="http://schemas.microsoft.com/office/drawing/2014/main" id="{00000000-0008-0000-0000-00001C500000}"/>
            </a:ext>
          </a:extLst>
        </xdr:cNvPr>
        <xdr:cNvGrpSpPr>
          <a:grpSpLocks/>
        </xdr:cNvGrpSpPr>
      </xdr:nvGrpSpPr>
      <xdr:grpSpPr bwMode="auto">
        <a:xfrm>
          <a:off x="784860" y="4130040"/>
          <a:ext cx="4724400" cy="2937510"/>
          <a:chOff x="80" y="514"/>
          <a:chExt cx="483" cy="299"/>
        </a:xfrm>
      </xdr:grpSpPr>
      <xdr:sp macro="" textlink="">
        <xdr:nvSpPr>
          <xdr:cNvPr id="20484" name="Text Box 6">
            <a:extLst>
              <a:ext uri="{FF2B5EF4-FFF2-40B4-BE49-F238E27FC236}">
                <a16:creationId xmlns:a16="http://schemas.microsoft.com/office/drawing/2014/main" id="{00000000-0008-0000-0000-000004500000}"/>
              </a:ext>
            </a:extLst>
          </xdr:cNvPr>
          <xdr:cNvSpPr txBox="1">
            <a:spLocks noChangeArrowheads="1"/>
          </xdr:cNvSpPr>
        </xdr:nvSpPr>
        <xdr:spPr bwMode="auto">
          <a:xfrm>
            <a:off x="80" y="514"/>
            <a:ext cx="483" cy="299"/>
          </a:xfrm>
          <a:prstGeom prst="rect">
            <a:avLst/>
          </a:prstGeom>
          <a:solidFill>
            <a:srgbClr val="E6F1F7"/>
          </a:solidFill>
          <a:ln w="9525">
            <a:solidFill>
              <a:srgbClr val="000000"/>
            </a:solidFill>
            <a:miter lim="800000"/>
            <a:headEnd/>
            <a:tailEnd/>
          </a:ln>
        </xdr:spPr>
        <xdr:txBody>
          <a:bodyPr vertOverflow="clip" wrap="square" lIns="27432" tIns="22860" rIns="27432" bIns="22860" anchor="t" upright="1"/>
          <a:lstStyle/>
          <a:p>
            <a:pPr algn="l" rtl="0">
              <a:lnSpc>
                <a:spcPts val="1100"/>
              </a:lnSpc>
              <a:defRPr sz="1000"/>
            </a:pPr>
            <a:endParaRPr lang="de-DE" sz="1000" b="0" i="0" u="none" strike="noStrike" baseline="0">
              <a:solidFill>
                <a:srgbClr val="000000"/>
              </a:solidFill>
              <a:latin typeface="Arial"/>
              <a:cs typeface="Arial"/>
            </a:endParaRPr>
          </a:p>
          <a:p>
            <a:pPr algn="l" rtl="0">
              <a:defRPr sz="1000"/>
            </a:pPr>
            <a:r>
              <a:rPr lang="de-DE" sz="1000" b="0" i="0" u="none" strike="noStrike" baseline="0">
                <a:solidFill>
                  <a:srgbClr val="000000"/>
                </a:solidFill>
                <a:latin typeface="Arial"/>
                <a:cs typeface="Arial"/>
              </a:rPr>
              <a:t>Damit diese </a:t>
            </a:r>
            <a:r>
              <a:rPr lang="de-DE" sz="1000" b="1" i="0" u="none" strike="noStrike" baseline="0">
                <a:solidFill>
                  <a:srgbClr val="000000"/>
                </a:solidFill>
                <a:latin typeface="Arial"/>
                <a:cs typeface="Arial"/>
              </a:rPr>
              <a:t>Anwendung funktioniert </a:t>
            </a:r>
            <a:r>
              <a:rPr lang="de-DE" sz="1000" b="0" i="0" u="none" strike="noStrike" baseline="0">
                <a:solidFill>
                  <a:srgbClr val="000000"/>
                </a:solidFill>
                <a:latin typeface="Arial"/>
                <a:cs typeface="Arial"/>
              </a:rPr>
              <a:t>müssen die </a:t>
            </a:r>
            <a:r>
              <a:rPr lang="de-DE" sz="1000" b="1" i="0" u="none" strike="noStrike" baseline="0">
                <a:solidFill>
                  <a:srgbClr val="000000"/>
                </a:solidFill>
                <a:latin typeface="Arial"/>
                <a:cs typeface="Arial"/>
              </a:rPr>
              <a:t>Makro-Einstellungen </a:t>
            </a:r>
            <a:r>
              <a:rPr lang="de-DE" sz="1000" b="0" i="0" u="none" strike="noStrike" baseline="0">
                <a:solidFill>
                  <a:srgbClr val="000000"/>
                </a:solidFill>
                <a:latin typeface="Arial"/>
                <a:cs typeface="Arial"/>
              </a:rPr>
              <a:t>auf "niedrig" eingestellt sein.</a:t>
            </a:r>
          </a:p>
          <a:p>
            <a:pPr algn="l" rtl="0">
              <a:defRPr sz="1000"/>
            </a:pPr>
            <a:endParaRPr lang="de-DE" sz="1000" b="0" i="0" u="none" strike="noStrike" baseline="0">
              <a:solidFill>
                <a:srgbClr val="000000"/>
              </a:solidFill>
              <a:latin typeface="Arial"/>
              <a:cs typeface="Arial"/>
            </a:endParaRPr>
          </a:p>
          <a:p>
            <a:pPr algn="l" rtl="0">
              <a:defRPr sz="1000"/>
            </a:pPr>
            <a:r>
              <a:rPr lang="de-DE" sz="1000" b="1" i="0" u="none" strike="noStrike" baseline="0">
                <a:solidFill>
                  <a:srgbClr val="000000"/>
                </a:solidFill>
                <a:latin typeface="Arial"/>
                <a:cs typeface="Arial"/>
              </a:rPr>
              <a:t>Excel 2003: </a:t>
            </a:r>
          </a:p>
          <a:p>
            <a:pPr algn="l" rtl="0">
              <a:defRPr sz="1000"/>
            </a:pPr>
            <a:r>
              <a:rPr lang="de-DE" sz="1000" b="0" i="0" u="none" strike="noStrike" baseline="0">
                <a:solidFill>
                  <a:srgbClr val="000000"/>
                </a:solidFill>
                <a:latin typeface="Arial"/>
                <a:cs typeface="Arial"/>
              </a:rPr>
              <a:t>Diese Einstellung können Sie im </a:t>
            </a:r>
            <a:r>
              <a:rPr lang="de-DE" sz="1000" b="1" i="0" u="none" strike="noStrike" baseline="0">
                <a:solidFill>
                  <a:srgbClr val="000000"/>
                </a:solidFill>
                <a:latin typeface="Arial"/>
                <a:cs typeface="Arial"/>
              </a:rPr>
              <a:t>Menü: Extras / Makro / Sicherheit </a:t>
            </a:r>
            <a:r>
              <a:rPr lang="de-DE" sz="1000" b="0" i="0" u="none" strike="noStrike" baseline="0">
                <a:solidFill>
                  <a:srgbClr val="000000"/>
                </a:solidFill>
                <a:latin typeface="Arial"/>
                <a:cs typeface="Arial"/>
              </a:rPr>
              <a:t>vornehmen.</a:t>
            </a:r>
          </a:p>
          <a:p>
            <a:pPr algn="l" rtl="0">
              <a:defRPr sz="1000"/>
            </a:pPr>
            <a:endParaRPr lang="de-DE" sz="1000" b="0" i="0" u="none" strike="noStrike" baseline="0">
              <a:solidFill>
                <a:srgbClr val="000000"/>
              </a:solidFill>
              <a:latin typeface="Arial"/>
              <a:cs typeface="Arial"/>
            </a:endParaRPr>
          </a:p>
          <a:p>
            <a:pPr algn="l" rtl="0">
              <a:defRPr sz="1000"/>
            </a:pPr>
            <a:r>
              <a:rPr lang="de-DE" sz="1000" b="1" i="0" u="none" strike="noStrike" baseline="0">
                <a:solidFill>
                  <a:srgbClr val="000000"/>
                </a:solidFill>
                <a:latin typeface="Arial"/>
                <a:cs typeface="Arial"/>
              </a:rPr>
              <a:t>Excel 2007:</a:t>
            </a:r>
            <a:endParaRPr lang="de-DE" sz="1000" b="0" i="0" u="none" strike="noStrike" baseline="0">
              <a:solidFill>
                <a:srgbClr val="000000"/>
              </a:solidFill>
              <a:latin typeface="Arial"/>
              <a:cs typeface="Arial"/>
            </a:endParaRPr>
          </a:p>
          <a:p>
            <a:pPr algn="l" rtl="0">
              <a:defRPr sz="1000"/>
            </a:pPr>
            <a:r>
              <a:rPr lang="de-DE" sz="1000" b="0" i="0" u="none" strike="noStrike" baseline="0">
                <a:solidFill>
                  <a:srgbClr val="000000"/>
                </a:solidFill>
                <a:latin typeface="Arial"/>
                <a:cs typeface="Arial"/>
              </a:rPr>
              <a:t>Sicherheitswarnung: "Makros wurden deaktiviert" - Optionen anklicken und mit "</a:t>
            </a:r>
            <a:r>
              <a:rPr lang="de-DE" sz="1000" b="1" i="0" u="none" strike="noStrike" baseline="0">
                <a:solidFill>
                  <a:srgbClr val="000000"/>
                </a:solidFill>
                <a:latin typeface="Arial"/>
                <a:cs typeface="Arial"/>
              </a:rPr>
              <a:t>diesen Inhalt aktivieren</a:t>
            </a:r>
            <a:r>
              <a:rPr lang="de-DE" sz="1000" b="0" i="0" u="none" strike="noStrike" baseline="0">
                <a:solidFill>
                  <a:srgbClr val="000000"/>
                </a:solidFill>
                <a:latin typeface="Arial"/>
                <a:cs typeface="Arial"/>
              </a:rPr>
              <a:t>" bestätigen (siehe Bild).</a:t>
            </a:r>
          </a:p>
        </xdr:txBody>
      </xdr:sp>
      <xdr:pic>
        <xdr:nvPicPr>
          <xdr:cNvPr id="20511" name="Grafik 6">
            <a:extLst>
              <a:ext uri="{FF2B5EF4-FFF2-40B4-BE49-F238E27FC236}">
                <a16:creationId xmlns:a16="http://schemas.microsoft.com/office/drawing/2014/main" id="{00000000-0008-0000-0000-00001F5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 y="692"/>
            <a:ext cx="413" cy="1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mc:AlternateContent xmlns:mc="http://schemas.openxmlformats.org/markup-compatibility/2006">
    <mc:Choice xmlns:a14="http://schemas.microsoft.com/office/drawing/2010/main" Requires="a14">
      <xdr:twoCellAnchor editAs="oneCell">
        <xdr:from>
          <xdr:col>3</xdr:col>
          <xdr:colOff>0</xdr:colOff>
          <xdr:row>9</xdr:row>
          <xdr:rowOff>38100</xdr:rowOff>
        </xdr:from>
        <xdr:to>
          <xdr:col>5</xdr:col>
          <xdr:colOff>0</xdr:colOff>
          <xdr:row>15</xdr:row>
          <xdr:rowOff>99060</xdr:rowOff>
        </xdr:to>
        <xdr:sp macro="" textlink="">
          <xdr:nvSpPr>
            <xdr:cNvPr id="20486" name="List Box 6" hidden="1">
              <a:extLst>
                <a:ext uri="{63B3BB69-23CF-44E3-9099-C40C66FF867C}">
                  <a14:compatExt spid="_x0000_s20486"/>
                </a:ext>
                <a:ext uri="{FF2B5EF4-FFF2-40B4-BE49-F238E27FC236}">
                  <a16:creationId xmlns:a16="http://schemas.microsoft.com/office/drawing/2014/main" id="{00000000-0008-0000-0000-000006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7</xdr:col>
      <xdr:colOff>28575</xdr:colOff>
      <xdr:row>50</xdr:row>
      <xdr:rowOff>114300</xdr:rowOff>
    </xdr:from>
    <xdr:to>
      <xdr:col>8</xdr:col>
      <xdr:colOff>447675</xdr:colOff>
      <xdr:row>52</xdr:row>
      <xdr:rowOff>28575</xdr:rowOff>
    </xdr:to>
    <xdr:pic macro="[0]!DieseArbeitsmappe.AnspringenBerechnung">
      <xdr:nvPicPr>
        <xdr:cNvPr id="19482" name="Picture 37">
          <a:extLst>
            <a:ext uri="{FF2B5EF4-FFF2-40B4-BE49-F238E27FC236}">
              <a16:creationId xmlns:a16="http://schemas.microsoft.com/office/drawing/2014/main" id="{00000000-0008-0000-0100-00001A4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29125" y="8343900"/>
          <a:ext cx="13144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1211580</xdr:colOff>
          <xdr:row>44</xdr:row>
          <xdr:rowOff>30480</xdr:rowOff>
        </xdr:from>
        <xdr:to>
          <xdr:col>4</xdr:col>
          <xdr:colOff>762000</xdr:colOff>
          <xdr:row>45</xdr:row>
          <xdr:rowOff>114300</xdr:rowOff>
        </xdr:to>
        <xdr:sp macro="" textlink="">
          <xdr:nvSpPr>
            <xdr:cNvPr id="19457" name="Option Button 1" hidden="1">
              <a:extLst>
                <a:ext uri="{63B3BB69-23CF-44E3-9099-C40C66FF867C}">
                  <a14:compatExt spid="_x0000_s19457"/>
                </a:ext>
                <a:ext uri="{FF2B5EF4-FFF2-40B4-BE49-F238E27FC236}">
                  <a16:creationId xmlns:a16="http://schemas.microsoft.com/office/drawing/2014/main" id="{00000000-0008-0000-01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800" b="0" i="0" u="none" strike="noStrike" baseline="0">
                  <a:solidFill>
                    <a:srgbClr val="000000"/>
                  </a:solidFill>
                  <a:latin typeface="Tahoma"/>
                  <a:ea typeface="Tahoma"/>
                  <a:cs typeface="Tahoma"/>
                </a:rPr>
                <a:t>Privat versichert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44</xdr:row>
          <xdr:rowOff>0</xdr:rowOff>
        </xdr:from>
        <xdr:to>
          <xdr:col>3</xdr:col>
          <xdr:colOff>998220</xdr:colOff>
          <xdr:row>45</xdr:row>
          <xdr:rowOff>83820</xdr:rowOff>
        </xdr:to>
        <xdr:sp macro="" textlink="">
          <xdr:nvSpPr>
            <xdr:cNvPr id="19458" name="Option Button 2" hidden="1">
              <a:extLst>
                <a:ext uri="{63B3BB69-23CF-44E3-9099-C40C66FF867C}">
                  <a14:compatExt spid="_x0000_s19458"/>
                </a:ext>
                <a:ext uri="{FF2B5EF4-FFF2-40B4-BE49-F238E27FC236}">
                  <a16:creationId xmlns:a16="http://schemas.microsoft.com/office/drawing/2014/main" id="{00000000-0008-0000-01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800" b="0" i="0" u="none" strike="noStrike" baseline="0">
                  <a:solidFill>
                    <a:srgbClr val="000000"/>
                  </a:solidFill>
                  <a:latin typeface="Tahoma"/>
                  <a:ea typeface="Tahoma"/>
                  <a:cs typeface="Tahoma"/>
                </a:rPr>
                <a:t>Gesetzlich versichert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29</xdr:row>
          <xdr:rowOff>45720</xdr:rowOff>
        </xdr:from>
        <xdr:to>
          <xdr:col>4</xdr:col>
          <xdr:colOff>236220</xdr:colOff>
          <xdr:row>30</xdr:row>
          <xdr:rowOff>106680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1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800" b="0" i="0" u="none" strike="noStrike" baseline="0">
                  <a:solidFill>
                    <a:srgbClr val="000000"/>
                  </a:solidFill>
                  <a:latin typeface="Tahoma"/>
                  <a:ea typeface="Tahoma"/>
                  <a:cs typeface="Tahoma"/>
                </a:rPr>
                <a:t>Doppelter Haushalt</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8</xdr:col>
      <xdr:colOff>76200</xdr:colOff>
      <xdr:row>52</xdr:row>
      <xdr:rowOff>66675</xdr:rowOff>
    </xdr:from>
    <xdr:to>
      <xdr:col>15</xdr:col>
      <xdr:colOff>19050</xdr:colOff>
      <xdr:row>62</xdr:row>
      <xdr:rowOff>9525</xdr:rowOff>
    </xdr:to>
    <xdr:graphicFrame macro="">
      <xdr:nvGraphicFramePr>
        <xdr:cNvPr id="17459" name="Chart 34">
          <a:extLst>
            <a:ext uri="{FF2B5EF4-FFF2-40B4-BE49-F238E27FC236}">
              <a16:creationId xmlns:a16="http://schemas.microsoft.com/office/drawing/2014/main" id="{00000000-0008-0000-0200-0000334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12</xdr:col>
      <xdr:colOff>409575</xdr:colOff>
      <xdr:row>63</xdr:row>
      <xdr:rowOff>114300</xdr:rowOff>
    </xdr:from>
    <xdr:to>
      <xdr:col>16</xdr:col>
      <xdr:colOff>0</xdr:colOff>
      <xdr:row>65</xdr:row>
      <xdr:rowOff>28575</xdr:rowOff>
    </xdr:to>
    <xdr:pic macro="[0]!DieseArbeitsmappe.AnspringenEingaben">
      <xdr:nvPicPr>
        <xdr:cNvPr id="17460" name="Picture 39">
          <a:extLst>
            <a:ext uri="{FF2B5EF4-FFF2-40B4-BE49-F238E27FC236}">
              <a16:creationId xmlns:a16="http://schemas.microsoft.com/office/drawing/2014/main" id="{00000000-0008-0000-0200-0000344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48450" y="10506075"/>
          <a:ext cx="13144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638175</xdr:colOff>
      <xdr:row>50</xdr:row>
      <xdr:rowOff>142875</xdr:rowOff>
    </xdr:from>
    <xdr:to>
      <xdr:col>7</xdr:col>
      <xdr:colOff>76200</xdr:colOff>
      <xdr:row>52</xdr:row>
      <xdr:rowOff>57150</xdr:rowOff>
    </xdr:to>
    <xdr:pic macro="[0]!DieseArbeitsmappe.AnspringenBerechnung">
      <xdr:nvPicPr>
        <xdr:cNvPr id="22553" name="Picture 37">
          <a:extLst>
            <a:ext uri="{FF2B5EF4-FFF2-40B4-BE49-F238E27FC236}">
              <a16:creationId xmlns:a16="http://schemas.microsoft.com/office/drawing/2014/main" id="{00000000-0008-0000-0300-0000195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62300" y="8372475"/>
          <a:ext cx="13144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152400</xdr:colOff>
      <xdr:row>50</xdr:row>
      <xdr:rowOff>142875</xdr:rowOff>
    </xdr:from>
    <xdr:to>
      <xdr:col>10</xdr:col>
      <xdr:colOff>79375</xdr:colOff>
      <xdr:row>52</xdr:row>
      <xdr:rowOff>57150</xdr:rowOff>
    </xdr:to>
    <xdr:pic macro="[0]!DieseArbeitsmappe.AnspringenEingaben">
      <xdr:nvPicPr>
        <xdr:cNvPr id="22554" name="Picture 39">
          <a:extLst>
            <a:ext uri="{FF2B5EF4-FFF2-40B4-BE49-F238E27FC236}">
              <a16:creationId xmlns:a16="http://schemas.microsoft.com/office/drawing/2014/main" id="{00000000-0008-0000-0300-00001A5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52950" y="8372475"/>
          <a:ext cx="13144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1211580</xdr:colOff>
          <xdr:row>44</xdr:row>
          <xdr:rowOff>30480</xdr:rowOff>
        </xdr:from>
        <xdr:to>
          <xdr:col>4</xdr:col>
          <xdr:colOff>762000</xdr:colOff>
          <xdr:row>45</xdr:row>
          <xdr:rowOff>114300</xdr:rowOff>
        </xdr:to>
        <xdr:sp macro="" textlink="">
          <xdr:nvSpPr>
            <xdr:cNvPr id="22566" name="Option Button 38" hidden="1">
              <a:extLst>
                <a:ext uri="{63B3BB69-23CF-44E3-9099-C40C66FF867C}">
                  <a14:compatExt spid="_x0000_s22566"/>
                </a:ext>
                <a:ext uri="{FF2B5EF4-FFF2-40B4-BE49-F238E27FC236}">
                  <a16:creationId xmlns:a16="http://schemas.microsoft.com/office/drawing/2014/main" id="{00000000-0008-0000-0300-00002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800" b="0" i="0" u="none" strike="noStrike" baseline="0">
                  <a:solidFill>
                    <a:srgbClr val="000000"/>
                  </a:solidFill>
                  <a:latin typeface="Tahoma"/>
                  <a:ea typeface="Tahoma"/>
                  <a:cs typeface="Tahoma"/>
                </a:rPr>
                <a:t>Privat versichert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44</xdr:row>
          <xdr:rowOff>0</xdr:rowOff>
        </xdr:from>
        <xdr:to>
          <xdr:col>3</xdr:col>
          <xdr:colOff>998220</xdr:colOff>
          <xdr:row>45</xdr:row>
          <xdr:rowOff>83820</xdr:rowOff>
        </xdr:to>
        <xdr:sp macro="" textlink="">
          <xdr:nvSpPr>
            <xdr:cNvPr id="22567" name="Option Button 39" hidden="1">
              <a:extLst>
                <a:ext uri="{63B3BB69-23CF-44E3-9099-C40C66FF867C}">
                  <a14:compatExt spid="_x0000_s22567"/>
                </a:ext>
                <a:ext uri="{FF2B5EF4-FFF2-40B4-BE49-F238E27FC236}">
                  <a16:creationId xmlns:a16="http://schemas.microsoft.com/office/drawing/2014/main" id="{00000000-0008-0000-0300-00002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800" b="0" i="0" u="none" strike="noStrike" baseline="0">
                  <a:solidFill>
                    <a:srgbClr val="000000"/>
                  </a:solidFill>
                  <a:latin typeface="Tahoma"/>
                  <a:ea typeface="Tahoma"/>
                  <a:cs typeface="Tahoma"/>
                </a:rPr>
                <a:t>Gesetzlich versichert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29</xdr:row>
          <xdr:rowOff>45720</xdr:rowOff>
        </xdr:from>
        <xdr:to>
          <xdr:col>4</xdr:col>
          <xdr:colOff>236220</xdr:colOff>
          <xdr:row>30</xdr:row>
          <xdr:rowOff>106680</xdr:rowOff>
        </xdr:to>
        <xdr:sp macro="" textlink="">
          <xdr:nvSpPr>
            <xdr:cNvPr id="22568" name="Check Box 40" hidden="1">
              <a:extLst>
                <a:ext uri="{63B3BB69-23CF-44E3-9099-C40C66FF867C}">
                  <a14:compatExt spid="_x0000_s22568"/>
                </a:ext>
                <a:ext uri="{FF2B5EF4-FFF2-40B4-BE49-F238E27FC236}">
                  <a16:creationId xmlns:a16="http://schemas.microsoft.com/office/drawing/2014/main" id="{00000000-0008-0000-0300-00002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800" b="0" i="0" u="none" strike="noStrike" baseline="0">
                  <a:solidFill>
                    <a:srgbClr val="000000"/>
                  </a:solidFill>
                  <a:latin typeface="Tahoma"/>
                  <a:ea typeface="Tahoma"/>
                  <a:cs typeface="Tahoma"/>
                </a:rPr>
                <a:t>Doppelter Haushalt</a:t>
              </a:r>
            </a:p>
          </xdr:txBody>
        </xdr:sp>
        <xdr:clientData/>
      </xdr:twoCellAnchor>
    </mc:Choice>
    <mc:Fallback/>
  </mc:AlternateContent>
  <xdr:twoCellAnchor editAs="oneCell">
    <xdr:from>
      <xdr:col>11</xdr:col>
      <xdr:colOff>0</xdr:colOff>
      <xdr:row>2</xdr:row>
      <xdr:rowOff>0</xdr:rowOff>
    </xdr:from>
    <xdr:to>
      <xdr:col>26</xdr:col>
      <xdr:colOff>14931</xdr:colOff>
      <xdr:row>49</xdr:row>
      <xdr:rowOff>137160</xdr:rowOff>
    </xdr:to>
    <xdr:pic>
      <xdr:nvPicPr>
        <xdr:cNvPr id="4" name="Grafik 3">
          <a:extLst>
            <a:ext uri="{FF2B5EF4-FFF2-40B4-BE49-F238E27FC236}">
              <a16:creationId xmlns:a16="http://schemas.microsoft.com/office/drawing/2014/main" id="{910657B2-F9F1-4BE0-91A9-D08BC6B4D1F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65520" y="342900"/>
          <a:ext cx="5958531" cy="811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66675</xdr:colOff>
      <xdr:row>5</xdr:row>
      <xdr:rowOff>66675</xdr:rowOff>
    </xdr:from>
    <xdr:to>
      <xdr:col>3</xdr:col>
      <xdr:colOff>4200525</xdr:colOff>
      <xdr:row>6</xdr:row>
      <xdr:rowOff>95250</xdr:rowOff>
    </xdr:to>
    <xdr:sp macro="" textlink="">
      <xdr:nvSpPr>
        <xdr:cNvPr id="2049" name="Text Box 1">
          <a:extLst>
            <a:ext uri="{FF2B5EF4-FFF2-40B4-BE49-F238E27FC236}">
              <a16:creationId xmlns:a16="http://schemas.microsoft.com/office/drawing/2014/main" id="{00000000-0008-0000-0400-000001080000}"/>
            </a:ext>
          </a:extLst>
        </xdr:cNvPr>
        <xdr:cNvSpPr txBox="1">
          <a:spLocks noChangeArrowheads="1"/>
        </xdr:cNvSpPr>
      </xdr:nvSpPr>
      <xdr:spPr bwMode="auto">
        <a:xfrm>
          <a:off x="933450" y="1143000"/>
          <a:ext cx="4238625" cy="4048125"/>
        </a:xfrm>
        <a:prstGeom prst="rect">
          <a:avLst/>
        </a:prstGeom>
        <a:solidFill>
          <a:srgbClr val="E6F1F7"/>
        </a:solidFill>
        <a:ln w="9525">
          <a:noFill/>
          <a:miter lim="800000"/>
          <a:headEnd/>
          <a:tailEnd/>
        </a:ln>
      </xdr:spPr>
      <xdr:txBody>
        <a:bodyPr vertOverflow="clip" wrap="square" lIns="36000" tIns="36000" rIns="36000" bIns="36000" anchor="t" upright="1"/>
        <a:lstStyle/>
        <a:p>
          <a:pPr algn="l" rtl="0">
            <a:defRPr sz="1000"/>
          </a:pPr>
          <a:r>
            <a:rPr lang="de-DE" sz="1000" b="0" i="0" u="none" strike="noStrike" baseline="0">
              <a:solidFill>
                <a:srgbClr val="000000"/>
              </a:solidFill>
              <a:latin typeface="Arial"/>
              <a:cs typeface="Arial"/>
            </a:rPr>
            <a:t>Mit dem "</a:t>
          </a:r>
          <a:r>
            <a:rPr lang="de-DE" sz="1000" b="1" i="0" u="none" strike="noStrike" baseline="0">
              <a:solidFill>
                <a:srgbClr val="000000"/>
              </a:solidFill>
              <a:latin typeface="Arial"/>
              <a:cs typeface="Arial"/>
            </a:rPr>
            <a:t>Firmenwagenrechner - Arbeitgeberkosten bei Privatnutzung</a:t>
          </a:r>
          <a:r>
            <a:rPr lang="de-DE" sz="1000" b="0" i="0" u="none" strike="noStrike" baseline="0">
              <a:solidFill>
                <a:srgbClr val="000000"/>
              </a:solidFill>
              <a:latin typeface="Arial"/>
              <a:cs typeface="Arial"/>
            </a:rPr>
            <a:t>" können Sie kalkulieren, welche zusätzlichen Kosten mit der Bereitstellung eines Dienstfahrzeuges verbunden sind, wenn Ihr Mitarbeiter dies auch privat nutzen kann.</a:t>
          </a:r>
        </a:p>
        <a:p>
          <a:pPr algn="l" rtl="0">
            <a:defRPr sz="1000"/>
          </a:pPr>
          <a:endParaRPr lang="de-DE" sz="1000" b="0" i="0" u="none" strike="noStrike" baseline="0">
            <a:solidFill>
              <a:srgbClr val="000000"/>
            </a:solidFill>
            <a:latin typeface="Arial"/>
            <a:cs typeface="Arial"/>
          </a:endParaRPr>
        </a:p>
        <a:p>
          <a:pPr algn="l" rtl="0">
            <a:defRPr sz="1000"/>
          </a:pPr>
          <a:r>
            <a:rPr lang="de-DE" sz="1000" b="0" i="0" u="none" strike="noStrike" baseline="0">
              <a:solidFill>
                <a:srgbClr val="000000"/>
              </a:solidFill>
              <a:latin typeface="Arial"/>
              <a:cs typeface="Arial"/>
            </a:rPr>
            <a:t>Damit diese Anwendung funktioniert müssen die Makro-Einstellungen auf "niedrig" eingestellt sein.</a:t>
          </a:r>
        </a:p>
        <a:p>
          <a:pPr algn="l" rtl="0">
            <a:defRPr sz="1000"/>
          </a:pPr>
          <a:endParaRPr lang="de-DE" sz="1000" b="0" i="0" u="none" strike="noStrike" baseline="0">
            <a:solidFill>
              <a:srgbClr val="000000"/>
            </a:solidFill>
            <a:latin typeface="Arial"/>
            <a:cs typeface="Arial"/>
          </a:endParaRPr>
        </a:p>
        <a:p>
          <a:pPr algn="l" rtl="0">
            <a:defRPr sz="1000"/>
          </a:pPr>
          <a:r>
            <a:rPr lang="de-DE" sz="1000" b="0" i="0" u="none" strike="noStrike" baseline="0">
              <a:solidFill>
                <a:srgbClr val="000000"/>
              </a:solidFill>
              <a:latin typeface="Arial"/>
              <a:cs typeface="Arial"/>
            </a:rPr>
            <a:t>Excel 2003: </a:t>
          </a:r>
        </a:p>
        <a:p>
          <a:pPr algn="l" rtl="0">
            <a:defRPr sz="1000"/>
          </a:pPr>
          <a:r>
            <a:rPr lang="de-DE" sz="1000" b="0" i="0" u="none" strike="noStrike" baseline="0">
              <a:solidFill>
                <a:srgbClr val="000000"/>
              </a:solidFill>
              <a:latin typeface="Arial"/>
              <a:cs typeface="Arial"/>
            </a:rPr>
            <a:t>Diese Einstellung können Sie im Menü: Extras / Makro / Sicherheit vornehmen.</a:t>
          </a:r>
        </a:p>
        <a:p>
          <a:pPr algn="l" rtl="0">
            <a:defRPr sz="1000"/>
          </a:pPr>
          <a:endParaRPr lang="de-DE" sz="1000" b="0" i="0" u="none" strike="noStrike" baseline="0">
            <a:solidFill>
              <a:srgbClr val="000000"/>
            </a:solidFill>
            <a:latin typeface="Arial"/>
            <a:cs typeface="Arial"/>
          </a:endParaRPr>
        </a:p>
        <a:p>
          <a:pPr algn="l" rtl="0">
            <a:defRPr sz="1000"/>
          </a:pPr>
          <a:r>
            <a:rPr lang="de-DE" sz="1000" b="0" i="0" u="none" strike="noStrike" baseline="0">
              <a:solidFill>
                <a:srgbClr val="000000"/>
              </a:solidFill>
              <a:latin typeface="Arial"/>
              <a:cs typeface="Arial"/>
            </a:rPr>
            <a:t>Excel 2007:</a:t>
          </a:r>
        </a:p>
        <a:p>
          <a:pPr algn="l" rtl="0">
            <a:defRPr sz="1000"/>
          </a:pPr>
          <a:r>
            <a:rPr lang="de-DE" sz="1000" b="0" i="0" u="none" strike="noStrike" baseline="0">
              <a:solidFill>
                <a:srgbClr val="000000"/>
              </a:solidFill>
              <a:latin typeface="Arial"/>
              <a:cs typeface="Arial"/>
            </a:rPr>
            <a:t>Sicherheitswarnung: "Makros wurden deaktiviert" - Optionen anklicken und mit "diesen Inhalt aktivieren" bestätigen (siehe Bild).</a:t>
          </a:r>
        </a:p>
      </xdr:txBody>
    </xdr:sp>
    <xdr:clientData/>
  </xdr:twoCellAnchor>
  <xdr:twoCellAnchor>
    <xdr:from>
      <xdr:col>2</xdr:col>
      <xdr:colOff>47625</xdr:colOff>
      <xdr:row>9</xdr:row>
      <xdr:rowOff>123825</xdr:rowOff>
    </xdr:from>
    <xdr:to>
      <xdr:col>4</xdr:col>
      <xdr:colOff>0</xdr:colOff>
      <xdr:row>11</xdr:row>
      <xdr:rowOff>95250</xdr:rowOff>
    </xdr:to>
    <xdr:sp macro="" textlink="">
      <xdr:nvSpPr>
        <xdr:cNvPr id="2050" name="Text Box 2">
          <a:extLst>
            <a:ext uri="{FF2B5EF4-FFF2-40B4-BE49-F238E27FC236}">
              <a16:creationId xmlns:a16="http://schemas.microsoft.com/office/drawing/2014/main" id="{00000000-0008-0000-0400-000002080000}"/>
            </a:ext>
          </a:extLst>
        </xdr:cNvPr>
        <xdr:cNvSpPr txBox="1">
          <a:spLocks noChangeArrowheads="1"/>
        </xdr:cNvSpPr>
      </xdr:nvSpPr>
      <xdr:spPr bwMode="auto">
        <a:xfrm>
          <a:off x="914400" y="5715000"/>
          <a:ext cx="4324350" cy="2705100"/>
        </a:xfrm>
        <a:prstGeom prst="rect">
          <a:avLst/>
        </a:prstGeom>
        <a:solidFill>
          <a:srgbClr val="E6F1F7"/>
        </a:solidFill>
        <a:ln w="9525">
          <a:noFill/>
          <a:miter lim="800000"/>
          <a:headEnd/>
          <a:tailEnd/>
        </a:ln>
      </xdr:spPr>
      <xdr:txBody>
        <a:bodyPr vertOverflow="clip" wrap="square" lIns="36000" tIns="36000" rIns="36000" bIns="36000" anchor="t" upright="1"/>
        <a:lstStyle/>
        <a:p>
          <a:pPr algn="l" rtl="0">
            <a:lnSpc>
              <a:spcPts val="1100"/>
            </a:lnSpc>
            <a:defRPr sz="1000"/>
          </a:pPr>
          <a:r>
            <a:rPr lang="de-DE" sz="1000" b="0" i="0" u="none" strike="noStrike" baseline="0">
              <a:solidFill>
                <a:srgbClr val="000000"/>
              </a:solidFill>
              <a:latin typeface="Arial"/>
              <a:cs typeface="Arial"/>
            </a:rPr>
            <a:t>Um mit dem Tool zu arbeiten, sind lediglich einige Angaben im Arbeitsblatt "Eingaben" erforderlich. </a:t>
          </a:r>
        </a:p>
        <a:p>
          <a:pPr algn="l" rtl="0">
            <a:lnSpc>
              <a:spcPts val="1100"/>
            </a:lnSpc>
            <a:defRPr sz="1000"/>
          </a:pPr>
          <a:endParaRPr lang="de-DE" sz="1000" b="0" i="0" u="none" strike="noStrike" baseline="0">
            <a:solidFill>
              <a:srgbClr val="000000"/>
            </a:solidFill>
            <a:latin typeface="Arial"/>
            <a:cs typeface="Arial"/>
          </a:endParaRPr>
        </a:p>
        <a:p>
          <a:pPr algn="l" rtl="0">
            <a:lnSpc>
              <a:spcPts val="1100"/>
            </a:lnSpc>
            <a:defRPr sz="1000"/>
          </a:pPr>
          <a:r>
            <a:rPr lang="de-DE" sz="1000" b="0" i="0" u="none" strike="noStrike" baseline="0">
              <a:solidFill>
                <a:srgbClr val="000000"/>
              </a:solidFill>
              <a:latin typeface="Arial"/>
              <a:cs typeface="Arial"/>
            </a:rPr>
            <a:t>Die Eingaben sind weitgehend selbsterklärend. Wichtig ist vor allem die korrekte Auswahl der Rechengrößen in Zelle H42 und des Jahres der Besteuerung in I38 bezüglich der Beitragsbemessungsgrenzen.</a:t>
          </a:r>
        </a:p>
        <a:p>
          <a:pPr algn="l" rtl="0">
            <a:lnSpc>
              <a:spcPts val="1100"/>
            </a:lnSpc>
            <a:defRPr sz="1000"/>
          </a:pPr>
          <a:endParaRPr lang="de-DE" sz="1000" b="0" i="0" u="none" strike="noStrike" baseline="0">
            <a:solidFill>
              <a:srgbClr val="000000"/>
            </a:solidFill>
            <a:latin typeface="Arial"/>
            <a:cs typeface="Arial"/>
          </a:endParaRPr>
        </a:p>
        <a:p>
          <a:pPr algn="l" rtl="0">
            <a:lnSpc>
              <a:spcPts val="1100"/>
            </a:lnSpc>
            <a:defRPr sz="1000"/>
          </a:pPr>
          <a:r>
            <a:rPr lang="de-DE" sz="1000" b="0" i="0" u="none" strike="noStrike" baseline="0">
              <a:solidFill>
                <a:srgbClr val="000000"/>
              </a:solidFill>
              <a:latin typeface="Arial"/>
              <a:cs typeface="Arial"/>
            </a:rPr>
            <a:t>Für die Ermittlung des geldwerten Vorteils sind auch einige Angaben zur Entfernung zwischen Wohnung und Arbeitsstätte und ggf. zur doppelten Haushaltsführung notwendig. Entsprechendes gilt für den bisherigen Bruttoverdienstes und der Angabe, ob der Mitarbeiter privat oder gesetzlich versichert ist.</a:t>
          </a:r>
        </a:p>
        <a:p>
          <a:pPr algn="l" rtl="0">
            <a:lnSpc>
              <a:spcPts val="1100"/>
            </a:lnSpc>
            <a:defRPr sz="1000"/>
          </a:pPr>
          <a:endParaRPr lang="de-DE" sz="1000" b="0" i="0" u="none" strike="noStrike" baseline="0">
            <a:solidFill>
              <a:srgbClr val="000000"/>
            </a:solidFill>
            <a:latin typeface="Arial"/>
            <a:cs typeface="Arial"/>
          </a:endParaRPr>
        </a:p>
        <a:p>
          <a:pPr algn="l" rtl="0">
            <a:lnSpc>
              <a:spcPts val="1100"/>
            </a:lnSpc>
            <a:defRPr sz="1000"/>
          </a:pPr>
          <a:r>
            <a:rPr lang="de-DE" sz="1000" b="0" i="0" u="none" strike="noStrike" baseline="0">
              <a:solidFill>
                <a:srgbClr val="000000"/>
              </a:solidFill>
              <a:latin typeface="Arial"/>
              <a:cs typeface="Arial"/>
            </a:rPr>
            <a:t>Nachdem Sie alle Daten eingegeben haben drücken Sie bitte auf den Button "Berechnen".</a:t>
          </a:r>
        </a:p>
        <a:p>
          <a:pPr algn="l" rtl="0">
            <a:lnSpc>
              <a:spcPts val="1000"/>
            </a:lnSpc>
            <a:defRPr sz="1000"/>
          </a:pPr>
          <a:endParaRPr lang="de-DE" sz="1000" b="0" i="0" u="none" strike="noStrike" baseline="0">
            <a:solidFill>
              <a:srgbClr val="000000"/>
            </a:solidFill>
            <a:latin typeface="Arial"/>
            <a:cs typeface="Arial"/>
          </a:endParaRPr>
        </a:p>
        <a:p>
          <a:pPr algn="l" rtl="0">
            <a:lnSpc>
              <a:spcPts val="1100"/>
            </a:lnSpc>
            <a:defRPr sz="1000"/>
          </a:pPr>
          <a:endParaRPr lang="de-DE" sz="1000" b="0" i="0" u="none" strike="noStrike" baseline="0">
            <a:solidFill>
              <a:srgbClr val="000000"/>
            </a:solidFill>
            <a:latin typeface="Arial"/>
            <a:cs typeface="Arial"/>
          </a:endParaRPr>
        </a:p>
        <a:p>
          <a:pPr algn="l" rtl="0">
            <a:lnSpc>
              <a:spcPts val="1000"/>
            </a:lnSpc>
            <a:defRPr sz="1000"/>
          </a:pPr>
          <a:endParaRPr lang="de-DE" sz="1000" b="0" i="0" u="none" strike="noStrike" baseline="0">
            <a:solidFill>
              <a:srgbClr val="000000"/>
            </a:solidFill>
            <a:latin typeface="Arial"/>
            <a:cs typeface="Arial"/>
          </a:endParaRPr>
        </a:p>
        <a:p>
          <a:pPr algn="l" rtl="0">
            <a:lnSpc>
              <a:spcPts val="1100"/>
            </a:lnSpc>
            <a:defRPr sz="1000"/>
          </a:pPr>
          <a:endParaRPr lang="de-DE" sz="1000" b="0" i="0" u="none" strike="noStrike" baseline="0">
            <a:solidFill>
              <a:srgbClr val="000000"/>
            </a:solidFill>
            <a:latin typeface="Arial"/>
            <a:cs typeface="Arial"/>
          </a:endParaRPr>
        </a:p>
        <a:p>
          <a:pPr algn="l" rtl="0">
            <a:lnSpc>
              <a:spcPts val="1000"/>
            </a:lnSpc>
            <a:defRPr sz="1000"/>
          </a:pPr>
          <a:endParaRPr lang="de-DE" sz="1000" b="0" i="0" u="none" strike="noStrike" baseline="0">
            <a:solidFill>
              <a:srgbClr val="000000"/>
            </a:solidFill>
            <a:latin typeface="Arial"/>
            <a:cs typeface="Arial"/>
          </a:endParaRPr>
        </a:p>
      </xdr:txBody>
    </xdr:sp>
    <xdr:clientData/>
  </xdr:twoCellAnchor>
  <xdr:twoCellAnchor editAs="oneCell">
    <xdr:from>
      <xdr:col>3</xdr:col>
      <xdr:colOff>3190875</xdr:colOff>
      <xdr:row>13</xdr:row>
      <xdr:rowOff>123825</xdr:rowOff>
    </xdr:from>
    <xdr:to>
      <xdr:col>6</xdr:col>
      <xdr:colOff>19050</xdr:colOff>
      <xdr:row>15</xdr:row>
      <xdr:rowOff>38100</xdr:rowOff>
    </xdr:to>
    <xdr:pic macro="[0]!DieseArbeitsmappe.AnspringenEingaben">
      <xdr:nvPicPr>
        <xdr:cNvPr id="2067" name="Picture 39">
          <a:extLst>
            <a:ext uri="{FF2B5EF4-FFF2-40B4-BE49-F238E27FC236}">
              <a16:creationId xmlns:a16="http://schemas.microsoft.com/office/drawing/2014/main" id="{00000000-0008-0000-0400-000013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62425" y="8791575"/>
          <a:ext cx="13144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2790825</xdr:rowOff>
    </xdr:from>
    <xdr:to>
      <xdr:col>3</xdr:col>
      <xdr:colOff>3933825</xdr:colOff>
      <xdr:row>5</xdr:row>
      <xdr:rowOff>3876675</xdr:rowOff>
    </xdr:to>
    <xdr:pic>
      <xdr:nvPicPr>
        <xdr:cNvPr id="2068" name="Grafik 6">
          <a:extLst>
            <a:ext uri="{FF2B5EF4-FFF2-40B4-BE49-F238E27FC236}">
              <a16:creationId xmlns:a16="http://schemas.microsoft.com/office/drawing/2014/main" id="{00000000-0008-0000-0400-00001408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71550" y="3867150"/>
          <a:ext cx="393382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2">
    <pageSetUpPr autoPageBreaks="0"/>
  </sheetPr>
  <dimension ref="B2:N41"/>
  <sheetViews>
    <sheetView showGridLines="0" showZeros="0" tabSelected="1" zoomScaleNormal="100" workbookViewId="0">
      <selection activeCell="B5" sqref="B5"/>
    </sheetView>
  </sheetViews>
  <sheetFormatPr baseColWidth="10" defaultColWidth="11.44140625" defaultRowHeight="13.2" x14ac:dyDescent="0.25"/>
  <cols>
    <col min="1" max="1" width="11.44140625" style="3" customWidth="1"/>
    <col min="2" max="3" width="1.5546875" style="3" customWidth="1"/>
    <col min="4" max="4" width="23.109375" style="3" customWidth="1"/>
    <col min="5" max="5" width="11.88671875" style="3" customWidth="1"/>
    <col min="6" max="7" width="2.5546875" style="3" customWidth="1"/>
    <col min="8" max="8" width="21.6640625" style="3" customWidth="1"/>
    <col min="9" max="9" width="1.88671875" style="3" customWidth="1"/>
    <col min="10" max="10" width="2.109375" style="3" customWidth="1"/>
    <col min="11" max="12" width="11.44140625" style="3" customWidth="1"/>
    <col min="13" max="14" width="11.44140625" style="3" hidden="1" customWidth="1"/>
    <col min="15" max="16384" width="11.44140625" style="3"/>
  </cols>
  <sheetData>
    <row r="2" spans="2:14" hidden="1" x14ac:dyDescent="0.25"/>
    <row r="3" spans="2:14" ht="50.25" hidden="1" customHeight="1" x14ac:dyDescent="0.25"/>
    <row r="4" spans="2:14" ht="13.8" thickBot="1" x14ac:dyDescent="0.3">
      <c r="J4" s="114" t="s">
        <v>73</v>
      </c>
    </row>
    <row r="5" spans="2:14" ht="24.75" customHeight="1" x14ac:dyDescent="0.25">
      <c r="B5" s="115" t="s">
        <v>95</v>
      </c>
      <c r="C5" s="116"/>
      <c r="D5" s="116"/>
      <c r="E5" s="116"/>
      <c r="F5" s="116"/>
      <c r="G5" s="116"/>
      <c r="H5" s="116"/>
      <c r="I5" s="116"/>
      <c r="J5" s="117"/>
    </row>
    <row r="6" spans="2:14" x14ac:dyDescent="0.25">
      <c r="B6" s="4"/>
      <c r="J6" s="5"/>
    </row>
    <row r="7" spans="2:14" ht="59.25" customHeight="1" x14ac:dyDescent="0.25">
      <c r="B7" s="4"/>
      <c r="J7" s="5"/>
    </row>
    <row r="8" spans="2:14" ht="13.8" thickBot="1" x14ac:dyDescent="0.3">
      <c r="B8" s="4"/>
      <c r="J8" s="5"/>
    </row>
    <row r="9" spans="2:14" ht="17.25" customHeight="1" thickBot="1" x14ac:dyDescent="0.3">
      <c r="B9" s="4"/>
      <c r="C9" s="118"/>
      <c r="D9" s="119" t="s">
        <v>74</v>
      </c>
      <c r="E9" s="120"/>
      <c r="F9" s="120"/>
      <c r="G9" s="120"/>
      <c r="H9" s="120"/>
      <c r="I9" s="121"/>
      <c r="J9" s="5"/>
      <c r="M9" s="122" t="s">
        <v>75</v>
      </c>
      <c r="N9" s="123">
        <v>1</v>
      </c>
    </row>
    <row r="10" spans="2:14" ht="12.75" customHeight="1" thickBot="1" x14ac:dyDescent="0.3">
      <c r="B10" s="4"/>
      <c r="C10" s="4"/>
      <c r="G10" s="21" t="s">
        <v>76</v>
      </c>
      <c r="H10" s="124"/>
      <c r="I10" s="5"/>
      <c r="J10" s="5"/>
    </row>
    <row r="11" spans="2:14" ht="13.5" customHeight="1" thickBot="1" x14ac:dyDescent="0.3">
      <c r="B11" s="4"/>
      <c r="C11" s="4"/>
      <c r="G11" s="245" t="str">
        <f>INDEX(Parameter_Intern!C5:D8,Startseite!N9,2)</f>
        <v>Hier geben Sie die Daten für den Firmenwagenrechner ein</v>
      </c>
      <c r="H11" s="245"/>
      <c r="I11" s="5"/>
      <c r="J11" s="5"/>
      <c r="M11" s="125">
        <f>+N9/2</f>
        <v>0.5</v>
      </c>
      <c r="N11" s="123">
        <f>+ROUND(N9/2,0)</f>
        <v>1</v>
      </c>
    </row>
    <row r="12" spans="2:14" ht="13.8" thickBot="1" x14ac:dyDescent="0.3">
      <c r="B12" s="4"/>
      <c r="C12" s="4"/>
      <c r="G12" s="245"/>
      <c r="H12" s="245"/>
      <c r="I12" s="5"/>
      <c r="J12" s="5"/>
      <c r="M12" s="243">
        <f>IF(M11=N11,1,2)</f>
        <v>2</v>
      </c>
      <c r="N12" s="244"/>
    </row>
    <row r="13" spans="2:14" x14ac:dyDescent="0.25">
      <c r="B13" s="4"/>
      <c r="C13" s="4"/>
      <c r="G13" s="245"/>
      <c r="H13" s="245"/>
      <c r="I13" s="5"/>
      <c r="J13" s="5"/>
    </row>
    <row r="14" spans="2:14" x14ac:dyDescent="0.25">
      <c r="B14" s="4"/>
      <c r="C14" s="4"/>
      <c r="G14" s="245"/>
      <c r="H14" s="245"/>
      <c r="I14" s="5"/>
      <c r="J14" s="5"/>
    </row>
    <row r="15" spans="2:14" x14ac:dyDescent="0.25">
      <c r="B15" s="4"/>
      <c r="C15" s="4"/>
      <c r="G15" s="245"/>
      <c r="H15" s="245"/>
      <c r="I15" s="5"/>
      <c r="J15" s="5"/>
    </row>
    <row r="16" spans="2:14" x14ac:dyDescent="0.25">
      <c r="B16" s="4"/>
      <c r="C16" s="4"/>
      <c r="I16" s="5"/>
      <c r="J16" s="5"/>
    </row>
    <row r="17" spans="2:12" ht="38.25" customHeight="1" x14ac:dyDescent="0.25">
      <c r="B17" s="4"/>
      <c r="C17" s="4"/>
      <c r="D17" s="241" t="str">
        <f>"Bei einem Klick auf "&amp;H17&amp;" kommen Sie direkt zum entsprechenden Arbeitsblatt"</f>
        <v>Bei einem Klick auf Eingaben kommen Sie direkt zum entsprechenden Arbeitsblatt</v>
      </c>
      <c r="E17" s="242"/>
      <c r="F17" s="126"/>
      <c r="G17" s="96"/>
      <c r="H17" s="203" t="str">
        <f>+HYPERLINK(VLOOKUP($N$9,Parameter_Intern!$B$5:$E$30,4,FALSE),VLOOKUP($N$9,Parameter_Intern!$B$5:$E$30,2,FALSE))</f>
        <v>Eingaben</v>
      </c>
      <c r="I17" s="127"/>
      <c r="J17" s="5"/>
      <c r="L17" s="21"/>
    </row>
    <row r="18" spans="2:12" ht="13.8" thickBot="1" x14ac:dyDescent="0.3">
      <c r="B18" s="4"/>
      <c r="C18" s="6"/>
      <c r="D18" s="7"/>
      <c r="E18" s="7"/>
      <c r="F18" s="7"/>
      <c r="G18" s="7"/>
      <c r="H18" s="7"/>
      <c r="I18" s="8"/>
      <c r="J18" s="5"/>
    </row>
    <row r="19" spans="2:12" ht="13.8" thickBot="1" x14ac:dyDescent="0.3">
      <c r="B19" s="6"/>
      <c r="C19" s="7"/>
      <c r="D19" s="128"/>
      <c r="E19" s="7"/>
      <c r="F19" s="7"/>
      <c r="G19" s="7"/>
      <c r="H19" s="7"/>
      <c r="I19" s="7"/>
      <c r="J19" s="8"/>
    </row>
    <row r="21" spans="2:12" x14ac:dyDescent="0.25">
      <c r="C21" s="9"/>
    </row>
    <row r="22" spans="2:12" x14ac:dyDescent="0.25">
      <c r="C22" s="9"/>
    </row>
    <row r="25" spans="2:12" ht="12.75" customHeight="1" x14ac:dyDescent="0.25"/>
    <row r="39" spans="2:2" x14ac:dyDescent="0.25">
      <c r="B39" s="9" t="s">
        <v>119</v>
      </c>
    </row>
    <row r="40" spans="2:2" x14ac:dyDescent="0.25">
      <c r="B40" s="9" t="s">
        <v>78</v>
      </c>
    </row>
    <row r="41" spans="2:2" x14ac:dyDescent="0.25">
      <c r="B41" s="9" t="s">
        <v>79</v>
      </c>
    </row>
  </sheetData>
  <sheetProtection sheet="1" objects="1" scenarios="1"/>
  <mergeCells count="3">
    <mergeCell ref="D17:E17"/>
    <mergeCell ref="M12:N12"/>
    <mergeCell ref="G11:H15"/>
  </mergeCells>
  <phoneticPr fontId="35" type="noConversion"/>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86" r:id="rId4" name="List Box 6">
              <controlPr defaultSize="0" autoFill="0" autoLine="0" autoPict="0">
                <anchor moveWithCells="1">
                  <from>
                    <xdr:col>3</xdr:col>
                    <xdr:colOff>0</xdr:colOff>
                    <xdr:row>9</xdr:row>
                    <xdr:rowOff>38100</xdr:rowOff>
                  </from>
                  <to>
                    <xdr:col>5</xdr:col>
                    <xdr:colOff>0</xdr:colOff>
                    <xdr:row>15</xdr:row>
                    <xdr:rowOff>99060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5">
    <pageSetUpPr autoPageBreaks="0" fitToPage="1"/>
  </sheetPr>
  <dimension ref="B2:U211"/>
  <sheetViews>
    <sheetView showGridLines="0" zoomScaleNormal="100" zoomScaleSheetLayoutView="75" workbookViewId="0">
      <selection activeCell="H7" sqref="H7:I7"/>
    </sheetView>
  </sheetViews>
  <sheetFormatPr baseColWidth="10" defaultColWidth="11.44140625" defaultRowHeight="13.2" x14ac:dyDescent="0.25"/>
  <cols>
    <col min="1" max="1" width="11.44140625" style="3" customWidth="1"/>
    <col min="2" max="2" width="1.6640625" style="3" customWidth="1"/>
    <col min="3" max="3" width="2.88671875" style="3" customWidth="1"/>
    <col min="4" max="4" width="21.88671875" style="3" customWidth="1"/>
    <col min="5" max="5" width="16.88671875" style="3" customWidth="1"/>
    <col min="6" max="6" width="9.44140625" style="3" customWidth="1"/>
    <col min="7" max="7" width="1.88671875" style="3" customWidth="1"/>
    <col min="8" max="8" width="13.44140625" style="3" customWidth="1"/>
    <col min="9" max="9" width="11.109375" style="3" customWidth="1"/>
    <col min="10" max="10" width="1.44140625" style="3" customWidth="1"/>
    <col min="11" max="11" width="1.44140625" customWidth="1"/>
    <col min="12" max="13" width="7.6640625" customWidth="1"/>
    <col min="14" max="14" width="7.6640625" style="21" customWidth="1"/>
    <col min="15" max="15" width="7.6640625" style="3" hidden="1" customWidth="1"/>
    <col min="16" max="16" width="33.5546875" style="3" hidden="1" customWidth="1"/>
    <col min="17" max="21" width="11.44140625" style="3" hidden="1" customWidth="1"/>
    <col min="22" max="22" width="11.44140625" style="3" customWidth="1"/>
    <col min="23" max="16384" width="11.44140625" style="3"/>
  </cols>
  <sheetData>
    <row r="2" spans="2:20" ht="13.8" thickBot="1" x14ac:dyDescent="0.3">
      <c r="J2" s="114" t="s">
        <v>83</v>
      </c>
    </row>
    <row r="3" spans="2:20" ht="48" customHeight="1" thickBot="1" x14ac:dyDescent="0.3">
      <c r="B3" s="248" t="s">
        <v>67</v>
      </c>
      <c r="C3" s="249"/>
      <c r="D3" s="249"/>
      <c r="E3" s="249"/>
      <c r="F3" s="249"/>
      <c r="G3" s="249"/>
      <c r="H3" s="249"/>
      <c r="I3" s="249"/>
      <c r="J3" s="250"/>
      <c r="N3" s="16"/>
      <c r="O3" s="16"/>
    </row>
    <row r="4" spans="2:20" x14ac:dyDescent="0.25">
      <c r="B4" s="4"/>
      <c r="J4" s="5"/>
    </row>
    <row r="5" spans="2:20" ht="12.75" customHeight="1" thickBot="1" x14ac:dyDescent="0.3">
      <c r="B5" s="4"/>
      <c r="C5" s="113" t="s">
        <v>66</v>
      </c>
      <c r="D5" s="113"/>
      <c r="E5" s="109"/>
      <c r="F5" s="109"/>
      <c r="G5" s="109"/>
      <c r="H5" s="109"/>
      <c r="I5" s="109"/>
      <c r="J5" s="5"/>
    </row>
    <row r="6" spans="2:20" ht="12.75" customHeight="1" x14ac:dyDescent="0.25">
      <c r="B6" s="4"/>
      <c r="J6" s="5"/>
      <c r="P6" s="162">
        <v>2</v>
      </c>
      <c r="Q6" s="17">
        <v>1</v>
      </c>
      <c r="R6" s="18"/>
      <c r="S6" s="19">
        <v>2</v>
      </c>
      <c r="T6" s="20" t="s">
        <v>19</v>
      </c>
    </row>
    <row r="7" spans="2:20" ht="12.75" customHeight="1" thickBot="1" x14ac:dyDescent="0.3">
      <c r="B7" s="4"/>
      <c r="C7" s="3" t="s">
        <v>26</v>
      </c>
      <c r="H7" s="246"/>
      <c r="I7" s="247"/>
      <c r="J7" s="5"/>
      <c r="P7" s="22" t="str">
        <f>+IF(H42="Alte Bundesländer","West","Ost")</f>
        <v>West</v>
      </c>
      <c r="Q7" s="23" t="s">
        <v>15</v>
      </c>
      <c r="R7" s="24" t="s">
        <v>16</v>
      </c>
      <c r="S7" s="25" t="s">
        <v>17</v>
      </c>
      <c r="T7" s="26"/>
    </row>
    <row r="8" spans="2:20" ht="12.75" customHeight="1" x14ac:dyDescent="0.25">
      <c r="B8" s="4"/>
      <c r="H8" s="213"/>
      <c r="I8" s="213"/>
      <c r="J8" s="5"/>
      <c r="P8" s="12" t="s">
        <v>7</v>
      </c>
      <c r="Q8" s="27" t="str">
        <f>IF($P$6&lt;&gt;$Q$6,"",IF($P$7="West",Rechengrößen!E11,Rechengrößen!F11))</f>
        <v/>
      </c>
      <c r="R8" s="28" t="str">
        <f>IF($P$6&lt;&gt;$R$6,"",IF($P$7="West",Rechengrößen!E15,Rechengrößen!F15))</f>
        <v/>
      </c>
      <c r="S8" s="29">
        <f>IF($P$6&lt;&gt;$S$6,"",IF($P$7="West",Rechengrößen!E11,Rechengrößen!F11))</f>
        <v>66150</v>
      </c>
      <c r="T8" s="30">
        <f>SUM(Q8:S8)</f>
        <v>66150</v>
      </c>
    </row>
    <row r="9" spans="2:20" ht="12.75" customHeight="1" x14ac:dyDescent="0.25">
      <c r="B9" s="4"/>
      <c r="C9" s="3" t="s">
        <v>108</v>
      </c>
      <c r="H9" s="254"/>
      <c r="I9" s="255"/>
      <c r="J9" s="5"/>
      <c r="P9" s="13" t="s">
        <v>8</v>
      </c>
      <c r="Q9" s="31" t="str">
        <f>IF($P$6&lt;&gt;$Q$6,"",IF($P$7="West",Rechengrößen!E12,Rechengrößen!F12))</f>
        <v/>
      </c>
      <c r="R9" s="32" t="str">
        <f>IF($P$6&lt;&gt;$R$6,"",IF($P$7="West",Rechengrößen!E15,Rechengrößen!F15))</f>
        <v/>
      </c>
      <c r="S9" s="33">
        <f>IF($P$6&lt;&gt;$S$6,"",IF($P$7="West",Rechengrößen!E12,Rechengrößen!F12))</f>
        <v>66150</v>
      </c>
      <c r="T9" s="11">
        <f>SUM(Q9:S9)</f>
        <v>66150</v>
      </c>
    </row>
    <row r="10" spans="2:20" ht="12.75" customHeight="1" x14ac:dyDescent="0.25">
      <c r="B10" s="4"/>
      <c r="J10" s="5"/>
      <c r="P10" s="13" t="s">
        <v>9</v>
      </c>
      <c r="Q10" s="31" t="str">
        <f>IF($P$6&lt;&gt;$Q$6,"",IF($P$7="West",Rechengrößen!E13,Rechengrößen!F13))</f>
        <v/>
      </c>
      <c r="R10" s="32" t="str">
        <f>IF($P$6&lt;&gt;$R$6,"",IF($P$7="West",Rechengrößen!E15,Rechengrößen!F15))</f>
        <v/>
      </c>
      <c r="S10" s="33">
        <f>++IF($P$6&lt;&gt;$S$6,"",IF($P$7="West",Rechengrößen!E13,Rechengrößen!F13))</f>
        <v>96600</v>
      </c>
      <c r="T10" s="11">
        <f>SUM(Q10:S10)</f>
        <v>96600</v>
      </c>
    </row>
    <row r="11" spans="2:20" ht="12.75" customHeight="1" x14ac:dyDescent="0.25">
      <c r="B11" s="4"/>
      <c r="C11" s="3" t="s">
        <v>28</v>
      </c>
      <c r="H11" s="214"/>
      <c r="J11" s="5"/>
      <c r="P11" s="13" t="s">
        <v>10</v>
      </c>
      <c r="Q11" s="31" t="str">
        <f>IF($P$6&lt;&gt;$Q$6,"",IF($P$7="West",Rechengrößen!E14,Rechengrößen!F14))</f>
        <v/>
      </c>
      <c r="R11" s="32" t="str">
        <f>IF($P$6&lt;&gt;$R$6,"",IF($P$7="West",Rechengrößen!E14,Rechengrößen!F14))</f>
        <v/>
      </c>
      <c r="S11" s="33">
        <f>+IF($P$6&lt;&gt;$S$6,"",IF($P$7="West",Rechengrößen!E14,Rechengrößen!F14))</f>
        <v>96600</v>
      </c>
      <c r="T11" s="11">
        <f>SUM(Q11:S11)</f>
        <v>96600</v>
      </c>
    </row>
    <row r="12" spans="2:20" ht="12.75" customHeight="1" thickBot="1" x14ac:dyDescent="0.3">
      <c r="B12" s="4"/>
      <c r="C12" s="3" t="s">
        <v>29</v>
      </c>
      <c r="H12" s="214"/>
      <c r="J12" s="5"/>
      <c r="P12" s="14" t="s">
        <v>11</v>
      </c>
      <c r="Q12" s="35" t="str">
        <f>IF($P$6&lt;&gt;$Q$6,"",IF($P$7="West",Rechengrößen!E15,Rechengrößen!F15))</f>
        <v/>
      </c>
      <c r="R12" s="36"/>
      <c r="S12" s="37"/>
      <c r="T12" s="38">
        <f>SUM(Q12:S12)</f>
        <v>0</v>
      </c>
    </row>
    <row r="13" spans="2:20" ht="12.75" customHeight="1" x14ac:dyDescent="0.25">
      <c r="B13" s="4"/>
      <c r="C13" s="3" t="s">
        <v>30</v>
      </c>
      <c r="H13" s="134">
        <f>+H11+H12</f>
        <v>0</v>
      </c>
      <c r="J13" s="5"/>
    </row>
    <row r="14" spans="2:20" ht="12.75" customHeight="1" thickBot="1" x14ac:dyDescent="0.3">
      <c r="B14" s="4"/>
      <c r="J14" s="5"/>
    </row>
    <row r="15" spans="2:20" ht="12.75" customHeight="1" x14ac:dyDescent="0.25">
      <c r="B15" s="4"/>
      <c r="C15" s="3" t="s">
        <v>31</v>
      </c>
      <c r="H15" s="214"/>
      <c r="J15" s="5"/>
      <c r="P15" s="163">
        <f>+P6</f>
        <v>2</v>
      </c>
      <c r="Q15" s="17">
        <v>1</v>
      </c>
      <c r="R15" s="18"/>
      <c r="S15" s="19">
        <v>2</v>
      </c>
      <c r="T15" s="20" t="s">
        <v>19</v>
      </c>
    </row>
    <row r="16" spans="2:20" ht="12.75" customHeight="1" thickBot="1" x14ac:dyDescent="0.3">
      <c r="B16" s="4"/>
      <c r="J16" s="5"/>
      <c r="P16" s="22" t="str">
        <f>+P7</f>
        <v>West</v>
      </c>
      <c r="Q16" s="23" t="s">
        <v>15</v>
      </c>
      <c r="R16" s="24" t="s">
        <v>16</v>
      </c>
      <c r="S16" s="25" t="s">
        <v>17</v>
      </c>
      <c r="T16" s="26"/>
    </row>
    <row r="17" spans="2:20" ht="12.75" customHeight="1" x14ac:dyDescent="0.25">
      <c r="B17" s="4"/>
      <c r="C17" s="3" t="s">
        <v>32</v>
      </c>
      <c r="G17" s="39"/>
      <c r="H17" s="215"/>
      <c r="J17" s="5"/>
      <c r="P17" s="15" t="s">
        <v>7</v>
      </c>
      <c r="Q17" s="40"/>
      <c r="R17" s="41" t="str">
        <f>+IF($P$15&lt;&gt;R$15,"",Rechengrößen!E26)</f>
        <v/>
      </c>
      <c r="S17" s="42">
        <f>+IF(P15&lt;&gt;S15,"",Rechengrößen!E26)</f>
        <v>0.14599999999999999</v>
      </c>
      <c r="T17" s="43">
        <f t="shared" ref="T17:T22" si="0">SUM(Q17:S17)</f>
        <v>0.14599999999999999</v>
      </c>
    </row>
    <row r="18" spans="2:20" ht="12.75" customHeight="1" x14ac:dyDescent="0.25">
      <c r="B18" s="4"/>
      <c r="C18" s="3" t="s">
        <v>33</v>
      </c>
      <c r="H18" s="216"/>
      <c r="J18" s="5"/>
      <c r="P18" s="12" t="s">
        <v>22</v>
      </c>
      <c r="Q18" s="45"/>
      <c r="R18" s="46" t="str">
        <f>+IF(R17="","",Rechengrößen!E27)</f>
        <v/>
      </c>
      <c r="S18" s="47">
        <f>+IF(S17="","",Rechengrößen!E20)</f>
        <v>2.5000000000000001E-2</v>
      </c>
      <c r="T18" s="48">
        <f t="shared" si="0"/>
        <v>2.5000000000000001E-2</v>
      </c>
    </row>
    <row r="19" spans="2:20" ht="12.75" customHeight="1" x14ac:dyDescent="0.25">
      <c r="B19" s="4"/>
      <c r="C19" s="3" t="s">
        <v>34</v>
      </c>
      <c r="H19" s="217"/>
      <c r="J19" s="5"/>
      <c r="P19" s="13" t="s">
        <v>8</v>
      </c>
      <c r="Q19" s="51"/>
      <c r="R19" s="52" t="str">
        <f>+IF(R17="","",Rechengrößen!E19)</f>
        <v/>
      </c>
      <c r="S19" s="53">
        <f>+IF(S17="","",Rechengrößen!E19)</f>
        <v>3.5999999999999997E-2</v>
      </c>
      <c r="T19" s="54">
        <f t="shared" si="0"/>
        <v>3.5999999999999997E-2</v>
      </c>
    </row>
    <row r="20" spans="2:20" ht="12.75" customHeight="1" x14ac:dyDescent="0.25">
      <c r="B20" s="4"/>
      <c r="J20" s="5"/>
      <c r="P20" s="13" t="s">
        <v>20</v>
      </c>
      <c r="Q20" s="51"/>
      <c r="R20" s="52" t="str">
        <f>+IF(R17="","",Rechengrößen!E20)</f>
        <v/>
      </c>
      <c r="S20" s="53">
        <f>+IF(S17="","",Rechengrößen!E20)</f>
        <v>2.5000000000000001E-2</v>
      </c>
      <c r="T20" s="54">
        <f t="shared" si="0"/>
        <v>2.5000000000000001E-2</v>
      </c>
    </row>
    <row r="21" spans="2:20" ht="12.75" customHeight="1" x14ac:dyDescent="0.25">
      <c r="B21" s="4"/>
      <c r="C21" s="3" t="s">
        <v>35</v>
      </c>
      <c r="G21" s="39"/>
      <c r="H21" s="218"/>
      <c r="J21" s="5"/>
      <c r="P21" s="13" t="s">
        <v>9</v>
      </c>
      <c r="Q21" s="51" t="str">
        <f>+IF($P$15&lt;&gt;Q$15,"",IF(Q7="","",Rechengrößen!E23))</f>
        <v/>
      </c>
      <c r="R21" s="52" t="str">
        <f>+IF(R17="","",Rechengrößen!E24)</f>
        <v/>
      </c>
      <c r="S21" s="53">
        <f>+IF(S17="","",Rechengrößen!E23)</f>
        <v>0.186</v>
      </c>
      <c r="T21" s="54">
        <f t="shared" si="0"/>
        <v>0.186</v>
      </c>
    </row>
    <row r="22" spans="2:20" ht="12.75" customHeight="1" thickBot="1" x14ac:dyDescent="0.3">
      <c r="B22" s="4"/>
      <c r="C22" s="3" t="s">
        <v>38</v>
      </c>
      <c r="G22" s="39"/>
      <c r="H22" s="218"/>
      <c r="J22" s="5"/>
      <c r="P22" s="14" t="s">
        <v>10</v>
      </c>
      <c r="Q22" s="60" t="str">
        <f>+IF(Q21="","",Rechengrößen!E22)</f>
        <v/>
      </c>
      <c r="R22" s="61" t="str">
        <f>+IF(R17="","",Rechengrößen!E22)</f>
        <v/>
      </c>
      <c r="S22" s="62">
        <f>+IF(S17="","",Rechengrößen!E22)</f>
        <v>2.5999999999999999E-2</v>
      </c>
      <c r="T22" s="54">
        <f t="shared" si="0"/>
        <v>2.5999999999999999E-2</v>
      </c>
    </row>
    <row r="23" spans="2:20" ht="12.75" customHeight="1" thickBot="1" x14ac:dyDescent="0.3">
      <c r="B23" s="4"/>
      <c r="C23" s="3" t="s">
        <v>36</v>
      </c>
      <c r="G23" s="39"/>
      <c r="H23" s="218"/>
      <c r="J23" s="5"/>
    </row>
    <row r="24" spans="2:20" ht="12.75" customHeight="1" thickBot="1" x14ac:dyDescent="0.3">
      <c r="B24" s="4"/>
      <c r="C24" s="3" t="s">
        <v>37</v>
      </c>
      <c r="G24" s="39"/>
      <c r="H24" s="218"/>
      <c r="J24" s="5"/>
      <c r="P24" s="122" t="b">
        <v>1</v>
      </c>
      <c r="Q24" s="98">
        <f>+IF(P24=FALSE(),0,1)</f>
        <v>1</v>
      </c>
      <c r="R24" s="57" t="s">
        <v>105</v>
      </c>
      <c r="S24" s="69"/>
    </row>
    <row r="25" spans="2:20" ht="12.75" customHeight="1" thickBot="1" x14ac:dyDescent="0.3">
      <c r="B25" s="4"/>
      <c r="C25" s="3" t="s">
        <v>39</v>
      </c>
      <c r="G25" s="39"/>
      <c r="H25" s="218"/>
      <c r="J25" s="5"/>
    </row>
    <row r="26" spans="2:20" ht="12.75" customHeight="1" thickBot="1" x14ac:dyDescent="0.3">
      <c r="B26" s="4"/>
      <c r="J26" s="5"/>
      <c r="P26" s="104" t="b">
        <v>1</v>
      </c>
      <c r="Q26" s="98">
        <f>+IF(P26=FALSE(),0,1)</f>
        <v>1</v>
      </c>
      <c r="R26" s="57" t="s">
        <v>106</v>
      </c>
      <c r="S26" s="69"/>
    </row>
    <row r="27" spans="2:20" ht="12.75" customHeight="1" x14ac:dyDescent="0.25">
      <c r="B27" s="4"/>
      <c r="C27" s="113" t="s">
        <v>69</v>
      </c>
      <c r="D27" s="113"/>
      <c r="E27" s="109"/>
      <c r="F27" s="109"/>
      <c r="G27" s="109"/>
      <c r="H27" s="109"/>
      <c r="I27" s="109"/>
      <c r="J27" s="5"/>
    </row>
    <row r="28" spans="2:20" ht="12.75" customHeight="1" thickBot="1" x14ac:dyDescent="0.3">
      <c r="B28" s="4"/>
      <c r="J28" s="5"/>
    </row>
    <row r="29" spans="2:20" ht="12.75" customHeight="1" x14ac:dyDescent="0.25">
      <c r="B29" s="4"/>
      <c r="C29" s="3" t="str">
        <f>IF(Q26=0,"Entfernung Wohnung / Arbeit (km)","Entfernung dopp. Haush. / Arbeit (km)")</f>
        <v>Entfernung dopp. Haush. / Arbeit (km)</v>
      </c>
      <c r="H29" s="92"/>
      <c r="J29" s="5"/>
      <c r="P29" s="27" t="s">
        <v>109</v>
      </c>
      <c r="Q29" s="222">
        <v>1</v>
      </c>
    </row>
    <row r="30" spans="2:20" ht="12.75" customHeight="1" thickBot="1" x14ac:dyDescent="0.3">
      <c r="B30" s="4"/>
      <c r="J30" s="5"/>
      <c r="P30" s="31" t="s">
        <v>110</v>
      </c>
      <c r="Q30" s="223">
        <v>0.5</v>
      </c>
    </row>
    <row r="31" spans="2:20" ht="12.75" customHeight="1" thickBot="1" x14ac:dyDescent="0.3">
      <c r="B31" s="4"/>
      <c r="J31" s="5"/>
      <c r="P31" s="35" t="s">
        <v>111</v>
      </c>
      <c r="Q31" s="224">
        <v>0.25</v>
      </c>
      <c r="R31" s="226">
        <f>IF(ISERROR(VLOOKUP(H9,P29:Q31,2,FALSE)),1,VLOOKUP(H9,P29:Q31,2,FALSE))</f>
        <v>1</v>
      </c>
    </row>
    <row r="32" spans="2:20" ht="12.75" customHeight="1" thickBot="1" x14ac:dyDescent="0.3">
      <c r="B32" s="4"/>
      <c r="C32" s="3" t="str">
        <f>+IF($Q$26=0,"","Anzahl Heimfahrten pro Jahr")</f>
        <v>Anzahl Heimfahrten pro Jahr</v>
      </c>
      <c r="H32" s="92"/>
      <c r="J32" s="5"/>
    </row>
    <row r="33" spans="2:18" ht="12.75" customHeight="1" thickBot="1" x14ac:dyDescent="0.3">
      <c r="B33" s="4"/>
      <c r="C33" s="3" t="str">
        <f>+IF($Q$26=0,"","Entfernung Arbeit / Heimat")</f>
        <v>Entfernung Arbeit / Heimat</v>
      </c>
      <c r="H33" s="92"/>
      <c r="J33" s="5"/>
      <c r="P33" s="122" t="s">
        <v>113</v>
      </c>
      <c r="Q33" s="225">
        <f>+IF(OR(H9=P30,H9=P31),1,0)</f>
        <v>0</v>
      </c>
    </row>
    <row r="34" spans="2:18" ht="12.75" customHeight="1" x14ac:dyDescent="0.25">
      <c r="B34" s="4"/>
      <c r="J34" s="5"/>
    </row>
    <row r="35" spans="2:18" ht="12.75" customHeight="1" x14ac:dyDescent="0.25">
      <c r="B35" s="4"/>
      <c r="J35" s="5"/>
    </row>
    <row r="36" spans="2:18" ht="12.75" customHeight="1" x14ac:dyDescent="0.25">
      <c r="B36" s="4"/>
      <c r="C36" s="113" t="s">
        <v>70</v>
      </c>
      <c r="D36" s="113"/>
      <c r="E36" s="109"/>
      <c r="F36" s="109"/>
      <c r="G36" s="109"/>
      <c r="H36" s="109"/>
      <c r="I36" s="109"/>
      <c r="J36" s="5"/>
    </row>
    <row r="37" spans="2:18" ht="12.75" customHeight="1" x14ac:dyDescent="0.25">
      <c r="B37" s="4"/>
      <c r="J37" s="5"/>
    </row>
    <row r="38" spans="2:18" ht="12.75" customHeight="1" x14ac:dyDescent="0.25">
      <c r="B38" s="4"/>
      <c r="C38" s="106" t="s">
        <v>62</v>
      </c>
      <c r="D38" s="108"/>
      <c r="E38" s="96"/>
      <c r="F38" s="96"/>
      <c r="G38" s="96"/>
      <c r="H38" s="97"/>
      <c r="I38" s="100"/>
      <c r="J38" s="5"/>
    </row>
    <row r="39" spans="2:18" ht="12.75" customHeight="1" x14ac:dyDescent="0.25">
      <c r="B39" s="4"/>
      <c r="C39"/>
      <c r="D39"/>
      <c r="E39"/>
      <c r="F39"/>
      <c r="G39"/>
      <c r="H39"/>
      <c r="I39"/>
      <c r="J39" s="5"/>
    </row>
    <row r="40" spans="2:18" ht="12.75" customHeight="1" x14ac:dyDescent="0.25">
      <c r="B40" s="4"/>
      <c r="C40" s="106" t="s">
        <v>68</v>
      </c>
      <c r="D40" s="108"/>
      <c r="E40" s="96"/>
      <c r="F40" s="96"/>
      <c r="G40" s="96"/>
      <c r="H40" s="97"/>
      <c r="I40" s="107"/>
      <c r="J40" s="5"/>
    </row>
    <row r="41" spans="2:18" ht="12.75" customHeight="1" x14ac:dyDescent="0.25">
      <c r="B41" s="4"/>
      <c r="C41" s="109"/>
      <c r="D41" s="109"/>
      <c r="E41" s="21"/>
      <c r="F41" s="21"/>
      <c r="G41" s="21"/>
      <c r="H41" s="21"/>
      <c r="I41" s="110"/>
      <c r="J41" s="5"/>
    </row>
    <row r="42" spans="2:18" ht="12.75" customHeight="1" x14ac:dyDescent="0.25">
      <c r="B42" s="4"/>
      <c r="C42" s="106" t="s">
        <v>18</v>
      </c>
      <c r="D42" s="108"/>
      <c r="E42" s="108"/>
      <c r="F42" s="108"/>
      <c r="G42" s="112"/>
      <c r="H42" s="251" t="s">
        <v>65</v>
      </c>
      <c r="I42" s="252"/>
      <c r="J42" s="5"/>
    </row>
    <row r="43" spans="2:18" ht="12.75" customHeight="1" x14ac:dyDescent="0.25">
      <c r="B43" s="4"/>
      <c r="C43" s="111"/>
      <c r="D43" s="109"/>
      <c r="E43" s="21"/>
      <c r="F43" s="21"/>
      <c r="G43" s="21"/>
      <c r="J43" s="5"/>
    </row>
    <row r="44" spans="2:18" ht="12.75" customHeight="1" x14ac:dyDescent="0.25">
      <c r="B44" s="4"/>
      <c r="C44" s="49"/>
      <c r="D44" s="49"/>
      <c r="E44" s="21"/>
      <c r="F44" s="21"/>
      <c r="G44" s="21"/>
      <c r="H44" s="21"/>
      <c r="J44" s="5"/>
    </row>
    <row r="45" spans="2:18" ht="12.75" customHeight="1" x14ac:dyDescent="0.25">
      <c r="B45" s="4"/>
      <c r="C45" s="55"/>
      <c r="D45" s="73"/>
      <c r="E45" s="56"/>
      <c r="J45" s="5"/>
    </row>
    <row r="46" spans="2:18" ht="12.75" customHeight="1" x14ac:dyDescent="0.25">
      <c r="B46" s="4"/>
      <c r="C46" s="58"/>
      <c r="D46" s="74"/>
      <c r="E46" s="59"/>
      <c r="J46" s="5"/>
      <c r="Q46" s="32">
        <f>+IF($I$40&gt;T8,T8,I40)</f>
        <v>0</v>
      </c>
      <c r="R46" s="32">
        <f>+IF($I$38&gt;T8,T8,I38)</f>
        <v>0</v>
      </c>
    </row>
    <row r="47" spans="2:18" ht="12.75" customHeight="1" thickBot="1" x14ac:dyDescent="0.3">
      <c r="B47" s="4"/>
      <c r="F47" s="63"/>
      <c r="G47" s="63"/>
      <c r="H47" s="202" t="str">
        <f>+IF(AND(OR($I$48="",$I$49=""),$P$6=1),"Eingabe AG-Anteil","")</f>
        <v/>
      </c>
      <c r="I47" s="201" t="str">
        <f>IF(AND(OR($I$48="",$I$49=""),$P$6=1),"ââââ","")</f>
        <v/>
      </c>
      <c r="J47" s="5"/>
      <c r="Q47" s="32">
        <f>+Q46</f>
        <v>0</v>
      </c>
      <c r="R47" s="32">
        <f>+R46</f>
        <v>0</v>
      </c>
    </row>
    <row r="48" spans="2:18" ht="12.75" customHeight="1" x14ac:dyDescent="0.25">
      <c r="B48" s="4"/>
      <c r="C48" s="15" t="str">
        <f>+IF(P6=1,"AG-Anteil Krankenversicherung / Jahresbeitrag -&gt;","")</f>
        <v/>
      </c>
      <c r="D48" s="65"/>
      <c r="E48" s="65"/>
      <c r="F48" s="65"/>
      <c r="G48" s="65"/>
      <c r="H48" s="90"/>
      <c r="I48" s="220"/>
      <c r="J48" s="5"/>
    </row>
    <row r="49" spans="2:19" ht="12.75" customHeight="1" thickBot="1" x14ac:dyDescent="0.3">
      <c r="B49" s="4"/>
      <c r="C49" s="14" t="str">
        <f>+IF(P6=1,"AG-Anteil Pflegeversicherung /Jahresbeitrag -&gt;","")</f>
        <v/>
      </c>
      <c r="D49" s="34"/>
      <c r="E49" s="34"/>
      <c r="F49" s="34"/>
      <c r="G49" s="34"/>
      <c r="H49" s="105"/>
      <c r="I49" s="221"/>
      <c r="J49" s="5"/>
    </row>
    <row r="50" spans="2:19" ht="12.75" customHeight="1" thickBot="1" x14ac:dyDescent="0.3">
      <c r="B50" s="6"/>
      <c r="C50" s="7"/>
      <c r="D50" s="7"/>
      <c r="E50" s="7"/>
      <c r="F50" s="7"/>
      <c r="G50" s="7"/>
      <c r="H50" s="7"/>
      <c r="I50" s="7"/>
      <c r="J50" s="8"/>
    </row>
    <row r="51" spans="2:19" ht="12.75" customHeight="1" x14ac:dyDescent="0.25"/>
    <row r="52" spans="2:19" ht="12.75" customHeight="1" x14ac:dyDescent="0.25">
      <c r="B52" s="253" t="s">
        <v>93</v>
      </c>
      <c r="C52" s="253"/>
      <c r="D52" s="253"/>
      <c r="E52" s="204" t="s">
        <v>85</v>
      </c>
      <c r="F52" s="204" t="s">
        <v>90</v>
      </c>
    </row>
    <row r="53" spans="2:19" ht="12.75" customHeight="1" x14ac:dyDescent="0.25"/>
    <row r="54" spans="2:19" ht="12.75" customHeight="1" x14ac:dyDescent="0.25">
      <c r="B54" s="9" t="s">
        <v>119</v>
      </c>
    </row>
    <row r="55" spans="2:19" ht="12.75" customHeight="1" x14ac:dyDescent="0.25">
      <c r="B55" s="9" t="s">
        <v>78</v>
      </c>
    </row>
    <row r="56" spans="2:19" ht="12.75" customHeight="1" x14ac:dyDescent="0.25">
      <c r="B56" s="9" t="s">
        <v>79</v>
      </c>
    </row>
    <row r="57" spans="2:19" ht="12.75" customHeight="1" x14ac:dyDescent="0.25"/>
    <row r="58" spans="2:19" ht="12.75" customHeight="1" x14ac:dyDescent="0.25">
      <c r="S58" s="3">
        <v>1</v>
      </c>
    </row>
    <row r="59" spans="2:19" ht="12.75" customHeight="1" x14ac:dyDescent="0.25"/>
    <row r="60" spans="2:19" ht="12.75" customHeight="1" x14ac:dyDescent="0.25"/>
    <row r="61" spans="2:19" ht="12.75" customHeight="1" x14ac:dyDescent="0.25"/>
    <row r="62" spans="2:19" ht="12.75" customHeight="1" x14ac:dyDescent="0.25"/>
    <row r="63" spans="2:19" ht="12.75" customHeight="1" x14ac:dyDescent="0.25"/>
    <row r="64" spans="2:19"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sheetData>
  <sheetProtection sheet="1" objects="1" scenarios="1"/>
  <mergeCells count="5">
    <mergeCell ref="H7:I7"/>
    <mergeCell ref="B3:J3"/>
    <mergeCell ref="H42:I42"/>
    <mergeCell ref="B52:D52"/>
    <mergeCell ref="H9:I9"/>
  </mergeCells>
  <phoneticPr fontId="5" type="noConversion"/>
  <conditionalFormatting sqref="H32:H33">
    <cfRule type="expression" dxfId="12" priority="1" stopIfTrue="1">
      <formula>$Q$26=0</formula>
    </cfRule>
  </conditionalFormatting>
  <conditionalFormatting sqref="C48:I49">
    <cfRule type="expression" dxfId="11" priority="2" stopIfTrue="1">
      <formula>$P$15=2</formula>
    </cfRule>
  </conditionalFormatting>
  <dataValidations count="20">
    <dataValidation type="list" allowBlank="1" showInputMessage="1" showErrorMessage="1" sqref="H42:I42" xr:uid="{00000000-0002-0000-0100-000000000000}">
      <formula1>"Neue Bundesländer,Alte Bundesländer"</formula1>
    </dataValidation>
    <dataValidation type="whole" allowBlank="1" showErrorMessage="1" errorTitle="AG-Anteile eingeben" error="Hier bitte nur die Arbeitgeberanteile für Kranken- bzw. Pflegeversicherung in Euro (zwischen 0 und 50.000 Euro) ohne Nachkommastellen eingeben." sqref="I48:I49" xr:uid="{00000000-0002-0000-0100-000001000000}">
      <formula1>0</formula1>
      <formula2>50000</formula2>
    </dataValidation>
    <dataValidation type="whole" allowBlank="1" showErrorMessage="1" errorTitle="Entfernung Wohnung/Arbeit" error="Hier bitte die Entfernungskilometer zwischen Wohnung und Arbeit (ganze Zahl) zwischen 0 und 500 eingeben." sqref="H29" xr:uid="{00000000-0002-0000-0100-000002000000}">
      <formula1>0</formula1>
      <formula2>500</formula2>
    </dataValidation>
    <dataValidation type="whole" allowBlank="1" showErrorMessage="1" errorTitle="Entfernung Haushalt/Arbeit" error="Hier bitte die Entfernungskilometer zwischen doppelterm Haushalt und Arbeit (ganze Zahl) zwischen 0 und 2.500 eingeben." sqref="H33" xr:uid="{00000000-0002-0000-0100-000003000000}">
      <formula1>0</formula1>
      <formula2>500</formula2>
    </dataValidation>
    <dataValidation type="whole" allowBlank="1" showErrorMessage="1" errorTitle="Anzahl Heimfahrten" error="Hier bitte die Anzahl der Familienheimfahrten eingeben." sqref="H32" xr:uid="{00000000-0002-0000-0100-000004000000}">
      <formula1>0</formula1>
      <formula2>100</formula2>
    </dataValidation>
    <dataValidation type="whole" allowBlank="1" showErrorMessage="1" errorTitle="Kilometerleistung" error="Hier bitte die Laufleistung des PKWs in Kilometer pro Jahr (zwischen 1 und 150.000) eingeben." sqref="H17" xr:uid="{00000000-0002-0000-0100-000005000000}">
      <formula1>1</formula1>
      <formula2>150000</formula2>
    </dataValidation>
    <dataValidation type="decimal" allowBlank="1" showErrorMessage="1" errorTitle="Verbrauch eingeben" error="Hier bitte den Verbrauch in Litern je 100 Kilometer (zwischen 1 und 25) eingeben." sqref="H18" xr:uid="{00000000-0002-0000-0100-000006000000}">
      <formula1>0.5</formula1>
      <formula2>25</formula2>
    </dataValidation>
    <dataValidation type="decimal" allowBlank="1" showErrorMessage="1" errorTitle="Treibstoffpreis" error="Hier bitte den angenommenen Preis für ein Liter Treibstoff (Diesel oder Benzin) zwischen 0,50 und 5,00 Euro eingeben." sqref="H19" xr:uid="{00000000-0002-0000-0100-000007000000}">
      <formula1>0.25</formula1>
      <formula2>5</formula2>
    </dataValidation>
    <dataValidation type="decimal" allowBlank="1" showErrorMessage="1" errorTitle="Kfz-Steuer" error="Hier bitte die voraussichtliche Kfz-Steuer (wischen 1 und 5.000) eingeben" sqref="H21" xr:uid="{00000000-0002-0000-0100-000008000000}">
      <formula1>1</formula1>
      <formula2>5000</formula2>
    </dataValidation>
    <dataValidation type="decimal" allowBlank="1" showErrorMessage="1" errorTitle="Kfz-Versicherung" error="Hier bitte die voraussichtliche Kfz-Versicherung (wischen 1 und 5.000) eingeben" sqref="H22" xr:uid="{00000000-0002-0000-0100-000009000000}">
      <formula1>1</formula1>
      <formula2>5000</formula2>
    </dataValidation>
    <dataValidation type="decimal" allowBlank="1" showErrorMessage="1" errorTitle="Inspektion und Reparaturen" error="Hier bitte die voraussichtlichen Inspektions- und Reparaturkosten (wischen 1 und 10.000) eingeben." sqref="H23" xr:uid="{00000000-0002-0000-0100-00000A000000}">
      <formula1>1</formula1>
      <formula2>10000</formula2>
    </dataValidation>
    <dataValidation type="decimal" allowBlank="1" showErrorMessage="1" errorTitle="Kosten für Verschließ" error="Hier bitte die voraussichtlichen Kosten für Verschleißteile (insb. Reifen) (wischen 1 und 5.000) eingeben" sqref="H24" xr:uid="{00000000-0002-0000-0100-00000B000000}">
      <formula1>1</formula1>
      <formula2>5000</formula2>
    </dataValidation>
    <dataValidation type="decimal" allowBlank="1" showErrorMessage="1" errorTitle="Sonstige Kosten" error="Hier bitte die voraussichtlichen sonstigen Kosten (zwischen 1 und 10.000) eingeben." sqref="H25" xr:uid="{00000000-0002-0000-0100-00000C000000}">
      <formula1>1</formula1>
      <formula2>10000</formula2>
    </dataValidation>
    <dataValidation type="whole" allowBlank="1" showErrorMessage="1" errorTitle="Bruttoverdienst" error="Hier bitte den Bruttoverdienst (zwischen 0 und 1.000.000 Euro) eines Jahres (evtl. des Vorjahres) ohne Nachkommastellen in Euro eingeben." sqref="I38" xr:uid="{00000000-0002-0000-0100-00000D000000}">
      <formula1>0</formula1>
      <formula2>1000000</formula2>
    </dataValidation>
    <dataValidation type="decimal" allowBlank="1" showErrorMessage="1" errorTitle="Sonderausstattung" error="Hier bitte die Sonderausstattung (zwischen o und 25.000 Euro) eingeben, die im Listenverkaufspreis noch nicht berücksichtigt wurde." sqref="H12" xr:uid="{00000000-0002-0000-0100-00000E000000}">
      <formula1>0</formula1>
      <formula2>25000</formula2>
    </dataValidation>
    <dataValidation type="decimal" allowBlank="1" showErrorMessage="1" errorTitle="Listenverkaufspreis" error="Hier bitte den Listenverkaufspreis inkl. USt (zwischen 5.000 und 500.000 Euro) eingeben." sqref="H11" xr:uid="{00000000-0002-0000-0100-00000F000000}">
      <formula1>5000</formula1>
      <formula2>500000</formula2>
    </dataValidation>
    <dataValidation type="decimal" allowBlank="1" showErrorMessage="1" errorTitle="Leasingrate eingeben" error="Hier bitte die monatliche Leasingrate (zwischen 0 und 10.000 Euro) eingeben." sqref="H15" xr:uid="{00000000-0002-0000-0100-000010000000}">
      <formula1>0</formula1>
      <formula2>10000</formula2>
    </dataValidation>
    <dataValidation type="list" showErrorMessage="1" errorTitle="Jahr wählen" error="Bitte wählen Sie aus der Liste ein Jahr, für das der Anlagespiegel erstellt werden soll." sqref="I41" xr:uid="{00000000-0002-0000-0100-000011000000}">
      <formula1>"2009,2010"</formula1>
    </dataValidation>
    <dataValidation type="list" showErrorMessage="1" errorTitle="Jahr wählen" error="Bitte wählen Sie aus der Liste ein Jahr, für das der Anlagespiegel erstellt werden soll." sqref="I40" xr:uid="{00000000-0002-0000-0100-000012000000}">
      <formula1>"2024,2025"</formula1>
    </dataValidation>
    <dataValidation type="list" allowBlank="1" showInputMessage="1" showErrorMessage="1" sqref="H9:I9" xr:uid="{00000000-0002-0000-0100-000013000000}">
      <formula1>$P$29:$P$31</formula1>
    </dataValidation>
  </dataValidations>
  <hyperlinks>
    <hyperlink ref="B52:D52" location="Startseite!Startseite" display="&lt;&lt; Startseite" xr:uid="{00000000-0004-0000-0100-000000000000}"/>
    <hyperlink ref="E52" location="BeispielB3" display="Beispiel" xr:uid="{00000000-0004-0000-0100-000001000000}"/>
    <hyperlink ref="F52" location="HilfeB3" display="Hilfe" xr:uid="{00000000-0004-0000-0100-000002000000}"/>
  </hyperlinks>
  <printOptions horizontalCentered="1"/>
  <pageMargins left="0.39370078740157483" right="0.39370078740157483" top="0.59055118110236227" bottom="0.59055118110236227"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9457" r:id="rId4" name="Option Button 1">
              <controlPr defaultSize="0" autoFill="0" autoLine="0" autoPict="0">
                <anchor moveWithCells="1">
                  <from>
                    <xdr:col>3</xdr:col>
                    <xdr:colOff>1211580</xdr:colOff>
                    <xdr:row>44</xdr:row>
                    <xdr:rowOff>30480</xdr:rowOff>
                  </from>
                  <to>
                    <xdr:col>4</xdr:col>
                    <xdr:colOff>762000</xdr:colOff>
                    <xdr:row>45</xdr:row>
                    <xdr:rowOff>114300</xdr:rowOff>
                  </to>
                </anchor>
              </controlPr>
            </control>
          </mc:Choice>
        </mc:AlternateContent>
        <mc:AlternateContent xmlns:mc="http://schemas.openxmlformats.org/markup-compatibility/2006">
          <mc:Choice Requires="x14">
            <control shapeId="19458" r:id="rId5" name="Option Button 2">
              <controlPr defaultSize="0" autoFill="0" autoLine="0" autoPict="0">
                <anchor moveWithCells="1">
                  <from>
                    <xdr:col>2</xdr:col>
                    <xdr:colOff>0</xdr:colOff>
                    <xdr:row>44</xdr:row>
                    <xdr:rowOff>0</xdr:rowOff>
                  </from>
                  <to>
                    <xdr:col>3</xdr:col>
                    <xdr:colOff>998220</xdr:colOff>
                    <xdr:row>45</xdr:row>
                    <xdr:rowOff>83820</xdr:rowOff>
                  </to>
                </anchor>
              </controlPr>
            </control>
          </mc:Choice>
        </mc:AlternateContent>
        <mc:AlternateContent xmlns:mc="http://schemas.openxmlformats.org/markup-compatibility/2006">
          <mc:Choice Requires="x14">
            <control shapeId="19460" r:id="rId6" name="Check Box 4">
              <controlPr defaultSize="0" autoFill="0" autoLine="0" autoPict="0">
                <anchor moveWithCells="1">
                  <from>
                    <xdr:col>1</xdr:col>
                    <xdr:colOff>106680</xdr:colOff>
                    <xdr:row>29</xdr:row>
                    <xdr:rowOff>45720</xdr:rowOff>
                  </from>
                  <to>
                    <xdr:col>4</xdr:col>
                    <xdr:colOff>236220</xdr:colOff>
                    <xdr:row>30</xdr:row>
                    <xdr:rowOff>106680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1">
    <pageSetUpPr autoPageBreaks="0" fitToPage="1"/>
  </sheetPr>
  <dimension ref="B2:AC225"/>
  <sheetViews>
    <sheetView showGridLines="0" zoomScaleNormal="100" zoomScaleSheetLayoutView="75" workbookViewId="0">
      <selection activeCell="C3" sqref="C3:O3"/>
    </sheetView>
  </sheetViews>
  <sheetFormatPr baseColWidth="10" defaultColWidth="11.44140625" defaultRowHeight="13.2" x14ac:dyDescent="0.25"/>
  <cols>
    <col min="1" max="1" width="11.44140625" style="3" customWidth="1"/>
    <col min="2" max="2" width="1.6640625" style="3" customWidth="1"/>
    <col min="3" max="3" width="2.88671875" style="3" customWidth="1"/>
    <col min="4" max="4" width="20.88671875" style="3" customWidth="1"/>
    <col min="5" max="5" width="9.44140625" style="3" customWidth="1"/>
    <col min="6" max="6" width="1.88671875" style="3" customWidth="1"/>
    <col min="7" max="7" width="8.44140625" style="3" customWidth="1"/>
    <col min="8" max="8" width="9" style="3" customWidth="1"/>
    <col min="9" max="10" width="1.44140625" style="3" customWidth="1"/>
    <col min="11" max="11" width="2.88671875" style="3" customWidth="1"/>
    <col min="12" max="12" width="22.33203125" style="3" customWidth="1"/>
    <col min="13" max="13" width="7.33203125" style="3" customWidth="1"/>
    <col min="14" max="14" width="7.88671875" style="3" customWidth="1"/>
    <col min="15" max="15" width="8.6640625" style="3" customWidth="1"/>
    <col min="16" max="16" width="2" style="3" customWidth="1"/>
    <col min="17" max="17" width="1.6640625" style="3" customWidth="1"/>
    <col min="18" max="18" width="26.109375" style="21" customWidth="1"/>
    <col min="19" max="19" width="11.5546875" style="3" hidden="1" customWidth="1"/>
    <col min="20" max="20" width="33.5546875" style="3" hidden="1" customWidth="1"/>
    <col min="21" max="25" width="11.5546875" style="3" hidden="1" customWidth="1"/>
    <col min="26" max="29" width="11.44140625" style="3" hidden="1" customWidth="1"/>
    <col min="30" max="30" width="11.44140625" style="3" customWidth="1"/>
    <col min="31" max="16384" width="11.44140625" style="3"/>
  </cols>
  <sheetData>
    <row r="2" spans="2:28" ht="13.8" thickBot="1" x14ac:dyDescent="0.3">
      <c r="P2" s="114" t="s">
        <v>88</v>
      </c>
    </row>
    <row r="3" spans="2:28" ht="39.75" customHeight="1" thickBot="1" x14ac:dyDescent="0.3">
      <c r="B3" s="135"/>
      <c r="C3" s="257" t="s">
        <v>71</v>
      </c>
      <c r="D3" s="258"/>
      <c r="E3" s="258"/>
      <c r="F3" s="258"/>
      <c r="G3" s="258"/>
      <c r="H3" s="258"/>
      <c r="I3" s="258"/>
      <c r="J3" s="258"/>
      <c r="K3" s="258"/>
      <c r="L3" s="258"/>
      <c r="M3" s="258"/>
      <c r="N3" s="258"/>
      <c r="O3" s="258"/>
      <c r="P3" s="136"/>
      <c r="Q3" s="16"/>
      <c r="R3" s="16"/>
      <c r="S3" s="16"/>
    </row>
    <row r="4" spans="2:28" x14ac:dyDescent="0.25">
      <c r="B4" s="4"/>
      <c r="J4" s="4"/>
      <c r="P4" s="5"/>
    </row>
    <row r="5" spans="2:28" x14ac:dyDescent="0.25">
      <c r="B5" s="4"/>
      <c r="J5" s="4"/>
      <c r="P5" s="5"/>
    </row>
    <row r="6" spans="2:28" ht="12.75" customHeight="1" thickBot="1" x14ac:dyDescent="0.3">
      <c r="B6" s="4"/>
      <c r="C6" s="137" t="s">
        <v>25</v>
      </c>
      <c r="D6" s="138"/>
      <c r="E6" s="138"/>
      <c r="F6" s="138"/>
      <c r="G6" s="138"/>
      <c r="H6" s="139"/>
      <c r="J6" s="4"/>
      <c r="K6" s="140" t="s">
        <v>46</v>
      </c>
      <c r="L6" s="138"/>
      <c r="M6" s="138"/>
      <c r="N6" s="138"/>
      <c r="O6" s="139"/>
      <c r="P6" s="5"/>
    </row>
    <row r="7" spans="2:28" ht="12.75" customHeight="1" x14ac:dyDescent="0.25">
      <c r="B7" s="4"/>
      <c r="J7" s="4"/>
      <c r="P7" s="5"/>
      <c r="T7" s="162">
        <f>+Eingaben!P6</f>
        <v>2</v>
      </c>
      <c r="U7" s="17">
        <v>1</v>
      </c>
      <c r="V7" s="18"/>
      <c r="W7" s="19">
        <v>2</v>
      </c>
      <c r="X7" s="20" t="s">
        <v>19</v>
      </c>
    </row>
    <row r="8" spans="2:28" ht="12.75" customHeight="1" thickBot="1" x14ac:dyDescent="0.3">
      <c r="B8" s="4"/>
      <c r="C8" s="21" t="str">
        <f>+IF(Eingaben!H9="Fahrzeug:","","Fahrzeug - "&amp;Eingaben!H9)</f>
        <v xml:space="preserve">Fahrzeug - </v>
      </c>
      <c r="G8" s="259" t="str">
        <f>+IF(Eingaben!H7="","",Eingaben!H7)</f>
        <v/>
      </c>
      <c r="H8" s="260"/>
      <c r="J8" s="4"/>
      <c r="K8" s="87" t="s">
        <v>47</v>
      </c>
      <c r="O8" s="148">
        <v>0.01</v>
      </c>
      <c r="P8" s="5"/>
      <c r="T8" s="22" t="str">
        <f>+Eingaben!P7</f>
        <v>West</v>
      </c>
      <c r="U8" s="23" t="s">
        <v>15</v>
      </c>
      <c r="V8" s="24" t="s">
        <v>16</v>
      </c>
      <c r="W8" s="25" t="s">
        <v>17</v>
      </c>
      <c r="X8" s="26"/>
      <c r="AA8" s="148">
        <v>0.01</v>
      </c>
      <c r="AB8" s="149">
        <f>+ROUND(AA8/2,6)</f>
        <v>5.0000000000000001E-3</v>
      </c>
    </row>
    <row r="9" spans="2:28" ht="12.75" customHeight="1" x14ac:dyDescent="0.25">
      <c r="B9" s="4"/>
      <c r="J9" s="4"/>
      <c r="K9" s="87"/>
      <c r="P9" s="5"/>
      <c r="T9" s="12" t="s">
        <v>7</v>
      </c>
      <c r="U9" s="27" t="str">
        <f>IF($T$7&lt;&gt;$U$7,"",IF($T$8="West",Rechengrößen!E11,Rechengrößen!F11))</f>
        <v/>
      </c>
      <c r="V9" s="28" t="str">
        <f>IF($T$7&lt;&gt;$V$7,"",IF($T$8="West",Rechengrößen!E15,Rechengrößen!F15))</f>
        <v/>
      </c>
      <c r="W9" s="29">
        <f>IF($T$7&lt;&gt;$W$7,"",IF($T$8="West",Rechengrößen!E11,Rechengrößen!F11))</f>
        <v>66150</v>
      </c>
      <c r="X9" s="30">
        <f>SUM(U9:W9)</f>
        <v>66150</v>
      </c>
    </row>
    <row r="10" spans="2:28" ht="12.75" customHeight="1" x14ac:dyDescent="0.25">
      <c r="B10" s="4"/>
      <c r="C10" s="3" t="s">
        <v>28</v>
      </c>
      <c r="G10" s="143">
        <f>+Eingaben!H11</f>
        <v>0</v>
      </c>
      <c r="J10" s="4"/>
      <c r="K10" s="87" t="s">
        <v>48</v>
      </c>
      <c r="O10" s="149">
        <v>2.9999999999999997E-4</v>
      </c>
      <c r="P10" s="5"/>
      <c r="T10" s="13" t="s">
        <v>8</v>
      </c>
      <c r="U10" s="31" t="str">
        <f>IF($T$7&lt;&gt;$U$7,"",IF($T$8="West",Rechengrößen!E12,Rechengrößen!F12))</f>
        <v/>
      </c>
      <c r="V10" s="32" t="str">
        <f>IF($T$7&lt;&gt;$V$7,"",IF($T$8="West",Rechengrößen!E15,Rechengrößen!F15))</f>
        <v/>
      </c>
      <c r="W10" s="33">
        <f>IF($T$7&lt;&gt;$W$7,"",IF($T$8="West",Rechengrößen!E12,Rechengrößen!F12))</f>
        <v>66150</v>
      </c>
      <c r="X10" s="11">
        <f>SUM(U10:W10)</f>
        <v>66150</v>
      </c>
    </row>
    <row r="11" spans="2:28" ht="12.75" customHeight="1" x14ac:dyDescent="0.25">
      <c r="B11" s="4"/>
      <c r="C11" s="3" t="s">
        <v>29</v>
      </c>
      <c r="G11" s="143">
        <f>+Eingaben!H12</f>
        <v>0</v>
      </c>
      <c r="J11" s="4"/>
      <c r="K11" s="87" t="s">
        <v>49</v>
      </c>
      <c r="O11" s="149">
        <v>2.0000000000000002E-5</v>
      </c>
      <c r="P11" s="5"/>
      <c r="T11" s="13" t="s">
        <v>9</v>
      </c>
      <c r="U11" s="31" t="str">
        <f>IF($T$7&lt;&gt;$U$7,"",IF($T$8="West",Rechengrößen!E13,Rechengrößen!F13))</f>
        <v/>
      </c>
      <c r="V11" s="32" t="str">
        <f>IF($T$7&lt;&gt;$V$7,"",IF($T$8="West",Rechengrößen!E15,Rechengrößen!F15))</f>
        <v/>
      </c>
      <c r="W11" s="33">
        <f>++IF($T$7&lt;&gt;$W$7,"",IF($T$8="West",Rechengrößen!E13,Rechengrößen!F13))</f>
        <v>96600</v>
      </c>
      <c r="X11" s="11">
        <f>SUM(U11:W11)</f>
        <v>96600</v>
      </c>
      <c r="AA11" s="148">
        <v>2.9999999999999997E-4</v>
      </c>
      <c r="AB11" s="149">
        <f>+ROUND(AA11/2,6)</f>
        <v>1.4999999999999999E-4</v>
      </c>
    </row>
    <row r="12" spans="2:28" ht="12.75" customHeight="1" x14ac:dyDescent="0.25">
      <c r="B12" s="4"/>
      <c r="C12" s="3" t="s">
        <v>30</v>
      </c>
      <c r="G12" s="228">
        <f>+G11+G10</f>
        <v>0</v>
      </c>
      <c r="J12" s="4"/>
      <c r="K12" s="87" t="s">
        <v>114</v>
      </c>
      <c r="O12" s="150">
        <v>0.3</v>
      </c>
      <c r="P12" s="5"/>
      <c r="T12" s="13" t="s">
        <v>10</v>
      </c>
      <c r="U12" s="31" t="str">
        <f>IF($T$7&lt;&gt;$U$7,"",IF($T$8="West",Rechengrößen!E14,Rechengrößen!F14))</f>
        <v/>
      </c>
      <c r="V12" s="32" t="str">
        <f>IF($T$7&lt;&gt;$V$7,"",IF($T$8="West",Rechengrößen!E14,Rechengrößen!F14))</f>
        <v/>
      </c>
      <c r="W12" s="33">
        <f>+IF($T$7&lt;&gt;$W$7,"",IF($T$8="West",Rechengrößen!E14,Rechengrößen!F14))</f>
        <v>96600</v>
      </c>
      <c r="X12" s="11">
        <f>SUM(U12:W12)</f>
        <v>96600</v>
      </c>
      <c r="AA12" s="149">
        <v>2.0000000000000002E-5</v>
      </c>
      <c r="AB12" s="219">
        <f t="shared" ref="AB12" si="0">+ROUND(AA12/2,6)</f>
        <v>1.0000000000000001E-5</v>
      </c>
    </row>
    <row r="13" spans="2:28" ht="12.75" customHeight="1" thickBot="1" x14ac:dyDescent="0.3">
      <c r="B13" s="4"/>
      <c r="J13" s="4"/>
      <c r="K13" s="87" t="s">
        <v>115</v>
      </c>
      <c r="O13" s="150">
        <v>0.38</v>
      </c>
      <c r="P13" s="5"/>
      <c r="T13" s="14" t="s">
        <v>11</v>
      </c>
      <c r="U13" s="35" t="str">
        <f>IF($T$7&lt;&gt;$U$7,"",IF($T$8="West",Rechengrößen!E15,Rechengrößen!F15))</f>
        <v/>
      </c>
      <c r="V13" s="36"/>
      <c r="W13" s="37"/>
      <c r="X13" s="38">
        <f>SUM(U13:W13)</f>
        <v>0</v>
      </c>
      <c r="AA13" s="150">
        <v>0.3</v>
      </c>
      <c r="AB13" s="150">
        <f>+AA13/2</f>
        <v>0.15</v>
      </c>
    </row>
    <row r="14" spans="2:28" ht="12.75" customHeight="1" x14ac:dyDescent="0.25">
      <c r="B14" s="4"/>
      <c r="C14" s="21" t="s">
        <v>112</v>
      </c>
      <c r="G14" s="134">
        <f>ROUND(G12,-2)*U29</f>
        <v>0</v>
      </c>
      <c r="J14" s="4"/>
      <c r="P14" s="5"/>
    </row>
    <row r="15" spans="2:28" ht="12.75" customHeight="1" thickBot="1" x14ac:dyDescent="0.3">
      <c r="B15" s="4"/>
      <c r="J15" s="4"/>
      <c r="K15" s="140" t="s">
        <v>61</v>
      </c>
      <c r="L15" s="138"/>
      <c r="M15" s="138"/>
      <c r="N15" s="138"/>
      <c r="O15" s="139"/>
      <c r="P15" s="5"/>
    </row>
    <row r="16" spans="2:28" ht="12.75" customHeight="1" x14ac:dyDescent="0.25">
      <c r="B16" s="4"/>
      <c r="C16" s="3" t="s">
        <v>31</v>
      </c>
      <c r="G16" s="143">
        <f>+Eingaben!H15</f>
        <v>0</v>
      </c>
      <c r="J16" s="4"/>
      <c r="P16" s="5"/>
      <c r="T16" s="163">
        <f>+T7</f>
        <v>2</v>
      </c>
      <c r="U16" s="17">
        <v>1</v>
      </c>
      <c r="V16" s="18"/>
      <c r="W16" s="19">
        <v>2</v>
      </c>
      <c r="X16" s="20" t="s">
        <v>19</v>
      </c>
    </row>
    <row r="17" spans="2:24" ht="12.75" customHeight="1" thickBot="1" x14ac:dyDescent="0.3">
      <c r="B17" s="4"/>
      <c r="C17" s="3" t="s">
        <v>32</v>
      </c>
      <c r="F17" s="39"/>
      <c r="G17" s="144">
        <f>+Eingaben!H17</f>
        <v>0</v>
      </c>
      <c r="J17" s="4"/>
      <c r="K17" s="3" t="s">
        <v>40</v>
      </c>
      <c r="O17" s="146">
        <f>IF(ISERROR(G16*12),"",G16*12)</f>
        <v>0</v>
      </c>
      <c r="P17" s="5"/>
      <c r="T17" s="22" t="str">
        <f>+Eingaben!P16</f>
        <v>West</v>
      </c>
      <c r="U17" s="23" t="s">
        <v>15</v>
      </c>
      <c r="V17" s="24" t="s">
        <v>16</v>
      </c>
      <c r="W17" s="25" t="s">
        <v>17</v>
      </c>
      <c r="X17" s="26"/>
    </row>
    <row r="18" spans="2:24" ht="12.75" customHeight="1" x14ac:dyDescent="0.25">
      <c r="B18" s="4"/>
      <c r="C18" s="3" t="s">
        <v>33</v>
      </c>
      <c r="G18" s="145">
        <f>+Eingaben!H18</f>
        <v>0</v>
      </c>
      <c r="J18" s="4"/>
      <c r="K18" s="3" t="s">
        <v>41</v>
      </c>
      <c r="O18" s="146">
        <f>IF(ISERROR(ROUND(G17/100*G18*G19,0)),"",ROUND(G17/100*G18*G19,0))</f>
        <v>0</v>
      </c>
      <c r="P18" s="5"/>
      <c r="T18" s="15" t="s">
        <v>7</v>
      </c>
      <c r="U18" s="40"/>
      <c r="V18" s="41" t="str">
        <f>+IF($T$16&lt;&gt;V$16,"",Rechengrößen!E26)</f>
        <v/>
      </c>
      <c r="W18" s="42">
        <f>+IF(T16&lt;&gt;W16,"",Rechengrößen!E26)</f>
        <v>0.14599999999999999</v>
      </c>
      <c r="X18" s="43">
        <f t="shared" ref="X18:X23" si="1">SUM(U18:W18)</f>
        <v>0.14599999999999999</v>
      </c>
    </row>
    <row r="19" spans="2:24" ht="12.75" customHeight="1" x14ac:dyDescent="0.25">
      <c r="B19" s="4"/>
      <c r="C19" s="3" t="s">
        <v>34</v>
      </c>
      <c r="G19" s="145">
        <f>+Eingaben!H19</f>
        <v>0</v>
      </c>
      <c r="J19" s="4"/>
      <c r="K19" s="3" t="s">
        <v>35</v>
      </c>
      <c r="O19" s="146">
        <f>+G21</f>
        <v>0</v>
      </c>
      <c r="P19" s="5"/>
      <c r="T19" s="12" t="s">
        <v>118</v>
      </c>
      <c r="U19" s="45"/>
      <c r="V19" s="46" t="str">
        <f>+IF(V18="","",Rechengrößen!E27)</f>
        <v/>
      </c>
      <c r="W19" s="47">
        <f>+IF(W18="","",Rechengrößen!E20)</f>
        <v>2.5000000000000001E-2</v>
      </c>
      <c r="X19" s="48">
        <f t="shared" si="1"/>
        <v>2.5000000000000001E-2</v>
      </c>
    </row>
    <row r="20" spans="2:24" ht="12.75" customHeight="1" x14ac:dyDescent="0.25">
      <c r="B20" s="4"/>
      <c r="J20" s="4"/>
      <c r="K20" s="3" t="s">
        <v>38</v>
      </c>
      <c r="O20" s="146">
        <f>+G22</f>
        <v>0</v>
      </c>
      <c r="P20" s="5"/>
      <c r="T20" s="13" t="s">
        <v>8</v>
      </c>
      <c r="U20" s="51"/>
      <c r="V20" s="52" t="str">
        <f>+IF(V18="","",Rechengrößen!E19)</f>
        <v/>
      </c>
      <c r="W20" s="53">
        <f>+IF(W18="","",Rechengrößen!E19)</f>
        <v>3.5999999999999997E-2</v>
      </c>
      <c r="X20" s="54">
        <f t="shared" si="1"/>
        <v>3.5999999999999997E-2</v>
      </c>
    </row>
    <row r="21" spans="2:24" ht="12.75" customHeight="1" x14ac:dyDescent="0.25">
      <c r="B21" s="4"/>
      <c r="C21" s="3" t="s">
        <v>35</v>
      </c>
      <c r="F21" s="39"/>
      <c r="G21" s="144">
        <f>+Eingaben!H21</f>
        <v>0</v>
      </c>
      <c r="J21" s="4"/>
      <c r="K21" s="3" t="s">
        <v>36</v>
      </c>
      <c r="O21" s="146">
        <f>+G23</f>
        <v>0</v>
      </c>
      <c r="P21" s="5"/>
      <c r="T21" s="13" t="s">
        <v>20</v>
      </c>
      <c r="U21" s="51"/>
      <c r="V21" s="52" t="str">
        <f>+IF(V18="","",Rechengrößen!E20)</f>
        <v/>
      </c>
      <c r="W21" s="53">
        <f>+IF(W18="","",Rechengrößen!E20)</f>
        <v>2.5000000000000001E-2</v>
      </c>
      <c r="X21" s="54">
        <f t="shared" si="1"/>
        <v>2.5000000000000001E-2</v>
      </c>
    </row>
    <row r="22" spans="2:24" ht="12.75" customHeight="1" x14ac:dyDescent="0.25">
      <c r="B22" s="4"/>
      <c r="C22" s="3" t="s">
        <v>38</v>
      </c>
      <c r="F22" s="39"/>
      <c r="G22" s="144">
        <f>+Eingaben!H22</f>
        <v>0</v>
      </c>
      <c r="J22" s="4"/>
      <c r="K22" s="3" t="s">
        <v>37</v>
      </c>
      <c r="O22" s="146">
        <f>+G24</f>
        <v>0</v>
      </c>
      <c r="P22" s="5"/>
      <c r="T22" s="13" t="s">
        <v>9</v>
      </c>
      <c r="U22" s="51" t="str">
        <f>+IF($T$16&lt;&gt;U$16,"",IF(U8="","",Rechengrößen!E23))</f>
        <v/>
      </c>
      <c r="V22" s="52" t="str">
        <f>+IF(V18="","",Rechengrößen!E24)</f>
        <v/>
      </c>
      <c r="W22" s="53">
        <f>+IF(W18="","",Rechengrößen!E23)</f>
        <v>0.186</v>
      </c>
      <c r="X22" s="54">
        <f t="shared" si="1"/>
        <v>0.186</v>
      </c>
    </row>
    <row r="23" spans="2:24" ht="12.75" customHeight="1" thickBot="1" x14ac:dyDescent="0.3">
      <c r="B23" s="4"/>
      <c r="C23" s="3" t="s">
        <v>36</v>
      </c>
      <c r="F23" s="39"/>
      <c r="G23" s="144">
        <f>+Eingaben!H23</f>
        <v>0</v>
      </c>
      <c r="J23" s="4"/>
      <c r="K23" s="3" t="s">
        <v>39</v>
      </c>
      <c r="O23" s="146">
        <f>+G25</f>
        <v>0</v>
      </c>
      <c r="P23" s="5"/>
      <c r="T23" s="14" t="s">
        <v>10</v>
      </c>
      <c r="U23" s="60" t="str">
        <f>+IF(U22="","",Rechengrößen!E22)</f>
        <v/>
      </c>
      <c r="V23" s="61" t="str">
        <f>+IF(V18="","",Rechengrößen!E22)</f>
        <v/>
      </c>
      <c r="W23" s="62">
        <f>+IF(W18="","",Rechengrößen!E22)</f>
        <v>2.5999999999999999E-2</v>
      </c>
      <c r="X23" s="54">
        <f t="shared" si="1"/>
        <v>2.5999999999999999E-2</v>
      </c>
    </row>
    <row r="24" spans="2:24" ht="12.75" customHeight="1" thickBot="1" x14ac:dyDescent="0.3">
      <c r="B24" s="4"/>
      <c r="C24" s="3" t="s">
        <v>37</v>
      </c>
      <c r="F24" s="39"/>
      <c r="G24" s="144">
        <f>+Eingaben!H24</f>
        <v>0</v>
      </c>
      <c r="J24" s="4"/>
      <c r="O24" s="39"/>
      <c r="P24" s="5"/>
    </row>
    <row r="25" spans="2:24" ht="12.75" customHeight="1" thickBot="1" x14ac:dyDescent="0.3">
      <c r="B25" s="4"/>
      <c r="C25" s="3" t="s">
        <v>39</v>
      </c>
      <c r="F25" s="39"/>
      <c r="G25" s="144">
        <f>+Eingaben!H25</f>
        <v>0</v>
      </c>
      <c r="J25" s="4"/>
      <c r="K25" s="21" t="s">
        <v>42</v>
      </c>
      <c r="L25" s="21"/>
      <c r="M25" s="21"/>
      <c r="N25" s="21"/>
      <c r="O25" s="147">
        <f>IF(ISERROR(SUM(O17:O23)),"",SUM(O17:O23))</f>
        <v>0</v>
      </c>
      <c r="P25" s="5"/>
      <c r="T25" s="122" t="b">
        <f>+Eingaben!P24</f>
        <v>1</v>
      </c>
      <c r="U25" s="98">
        <f>+Eingaben!Q33</f>
        <v>0</v>
      </c>
      <c r="V25" s="57" t="s">
        <v>105</v>
      </c>
      <c r="W25" s="69"/>
    </row>
    <row r="26" spans="2:24" ht="12.75" customHeight="1" thickBot="1" x14ac:dyDescent="0.3">
      <c r="B26" s="4"/>
      <c r="J26" s="4"/>
      <c r="O26" s="39"/>
      <c r="P26" s="5"/>
    </row>
    <row r="27" spans="2:24" ht="12.75" customHeight="1" thickBot="1" x14ac:dyDescent="0.3">
      <c r="B27" s="4"/>
      <c r="C27" s="137" t="s">
        <v>44</v>
      </c>
      <c r="D27" s="138"/>
      <c r="E27" s="138"/>
      <c r="F27" s="138"/>
      <c r="G27" s="138"/>
      <c r="H27" s="139"/>
      <c r="J27" s="4"/>
      <c r="K27" s="140" t="s">
        <v>43</v>
      </c>
      <c r="L27" s="138"/>
      <c r="M27" s="138"/>
      <c r="N27" s="138"/>
      <c r="O27" s="141"/>
      <c r="P27" s="5"/>
      <c r="T27" s="104" t="b">
        <f>+Eingaben!P26</f>
        <v>1</v>
      </c>
      <c r="U27" s="98">
        <f>+Eingaben!Q26</f>
        <v>1</v>
      </c>
      <c r="V27" s="57" t="s">
        <v>107</v>
      </c>
      <c r="W27" s="69"/>
    </row>
    <row r="28" spans="2:24" ht="12.75" customHeight="1" thickBot="1" x14ac:dyDescent="0.3">
      <c r="B28" s="4"/>
      <c r="J28" s="4"/>
      <c r="O28" s="39"/>
      <c r="P28" s="5"/>
    </row>
    <row r="29" spans="2:24" ht="12.75" customHeight="1" thickBot="1" x14ac:dyDescent="0.3">
      <c r="B29" s="4"/>
      <c r="C29" s="3" t="str">
        <f>IF(U27=0,"Entfernung Wohnung / Arbeit (km)","Entfernung dopp. Haush. / Arbeit (km)")</f>
        <v>Entfernung dopp. Haush. / Arbeit (km)</v>
      </c>
      <c r="G29" s="144">
        <f>+Eingaben!H29</f>
        <v>0</v>
      </c>
      <c r="J29" s="4"/>
      <c r="K29" s="3" t="s">
        <v>45</v>
      </c>
      <c r="O29" s="146">
        <f>IF(ISERROR(ROUND(G14*O8*12,0)),"",ROUND(G14*O8*12,0))</f>
        <v>0</v>
      </c>
      <c r="P29" s="5"/>
      <c r="T29" s="122" t="s">
        <v>112</v>
      </c>
      <c r="U29" s="227">
        <f>+Eingaben!R31</f>
        <v>1</v>
      </c>
    </row>
    <row r="30" spans="2:24" ht="12.75" customHeight="1" x14ac:dyDescent="0.25">
      <c r="B30" s="4"/>
      <c r="J30" s="4"/>
      <c r="K30" s="3" t="s">
        <v>50</v>
      </c>
      <c r="O30" s="146">
        <f>ROUND(G29*O10*G14*12,0)</f>
        <v>0</v>
      </c>
      <c r="P30" s="5"/>
    </row>
    <row r="31" spans="2:24" ht="12.75" customHeight="1" x14ac:dyDescent="0.25">
      <c r="B31" s="4"/>
      <c r="C31" s="21" t="str">
        <f>+IF(U27=1,"Doppelten Haushalt berücksichtigen.","Kein doppelter Haushalt")</f>
        <v>Doppelten Haushalt berücksichtigen.</v>
      </c>
      <c r="J31" s="4"/>
      <c r="K31" s="3" t="str">
        <f>+IF(U27=0,"","Doppelte Haushaltsführung")</f>
        <v>Doppelte Haushaltsführung</v>
      </c>
      <c r="O31" s="39">
        <f>IF(U27=0,"",ROUND(G33*G34*O11*G14,0))</f>
        <v>0</v>
      </c>
      <c r="P31" s="5"/>
      <c r="T31" s="3" t="s">
        <v>116</v>
      </c>
      <c r="U31" s="32">
        <f>+IF(G29&gt;20,20,G29)</f>
        <v>0</v>
      </c>
      <c r="V31" s="229">
        <f>+O12</f>
        <v>0.3</v>
      </c>
      <c r="W31" s="32"/>
    </row>
    <row r="32" spans="2:24" ht="12.75" customHeight="1" x14ac:dyDescent="0.25">
      <c r="B32" s="4"/>
      <c r="J32" s="4"/>
      <c r="O32" s="39"/>
      <c r="P32" s="5"/>
      <c r="U32" s="32">
        <f>+IF(G29&gt;20,G29-20,0)</f>
        <v>0</v>
      </c>
      <c r="V32" s="229">
        <f>+O13</f>
        <v>0.38</v>
      </c>
      <c r="W32" s="32"/>
    </row>
    <row r="33" spans="2:22" ht="12.75" customHeight="1" x14ac:dyDescent="0.25">
      <c r="B33" s="4"/>
      <c r="C33" s="3" t="str">
        <f>+IF($U$27=0,"","Anzahl Heimfahrten pro Jahr")</f>
        <v>Anzahl Heimfahrten pro Jahr</v>
      </c>
      <c r="G33" s="92">
        <f>+Eingaben!H32</f>
        <v>0</v>
      </c>
      <c r="J33" s="4"/>
      <c r="K33" s="21" t="s">
        <v>51</v>
      </c>
      <c r="L33" s="21"/>
      <c r="M33" s="21"/>
      <c r="N33" s="21"/>
      <c r="O33" s="147">
        <f>IF(ISERROR(SUM(O29:O31)),"",SUM(O29:O31))</f>
        <v>0</v>
      </c>
      <c r="P33" s="5"/>
    </row>
    <row r="34" spans="2:22" ht="12.75" customHeight="1" x14ac:dyDescent="0.25">
      <c r="B34" s="4"/>
      <c r="C34" s="3" t="str">
        <f>+IF($U$27=0,"","Entfernung Arbeit / Heimat")</f>
        <v>Entfernung Arbeit / Heimat</v>
      </c>
      <c r="G34" s="92">
        <f>+Eingaben!H33</f>
        <v>0</v>
      </c>
      <c r="J34" s="4"/>
      <c r="O34" s="39"/>
      <c r="P34" s="5"/>
    </row>
    <row r="35" spans="2:22" ht="12.75" customHeight="1" x14ac:dyDescent="0.25">
      <c r="B35" s="4"/>
      <c r="J35" s="4"/>
      <c r="P35" s="5"/>
    </row>
    <row r="36" spans="2:22" ht="12.75" customHeight="1" x14ac:dyDescent="0.25">
      <c r="B36" s="4"/>
      <c r="C36" s="137" t="s">
        <v>52</v>
      </c>
      <c r="D36" s="138"/>
      <c r="E36" s="138"/>
      <c r="F36" s="138"/>
      <c r="G36" s="138"/>
      <c r="H36" s="139"/>
      <c r="J36" s="4"/>
      <c r="K36" s="140" t="s">
        <v>53</v>
      </c>
      <c r="L36" s="138"/>
      <c r="M36" s="138"/>
      <c r="N36" s="138"/>
      <c r="O36" s="141"/>
      <c r="P36" s="5"/>
    </row>
    <row r="37" spans="2:22" ht="12.75" customHeight="1" thickBot="1" x14ac:dyDescent="0.3">
      <c r="B37" s="4"/>
      <c r="J37" s="4"/>
      <c r="P37" s="5"/>
    </row>
    <row r="38" spans="2:22" ht="12.75" customHeight="1" x14ac:dyDescent="0.25">
      <c r="B38" s="4"/>
      <c r="C38" s="95" t="s">
        <v>62</v>
      </c>
      <c r="D38" s="96"/>
      <c r="E38" s="96"/>
      <c r="F38" s="96"/>
      <c r="G38" s="97"/>
      <c r="H38" s="151">
        <f>+Eingaben!I38</f>
        <v>0</v>
      </c>
      <c r="J38" s="4"/>
      <c r="K38" s="15" t="str">
        <f>+IF(AA7=1,"AG-Anteil Krankenvers.-&gt;","AG-Anteil Krankenvers.")</f>
        <v>AG-Anteil Krankenvers.</v>
      </c>
      <c r="L38" s="88"/>
      <c r="M38" s="102" t="str">
        <f>IF(E45="","",E45)</f>
        <v/>
      </c>
      <c r="N38" s="155">
        <f>+G45</f>
        <v>8.5500000000000007E-2</v>
      </c>
      <c r="O38" s="153">
        <f>IF(ISERROR(IF($T$7=1,M38,ROUND($V$44*$G$45,0))),"",IF($T$7=1,M38,ROUND($V$44*$G$45,0)))</f>
        <v>0</v>
      </c>
      <c r="P38" s="5"/>
    </row>
    <row r="39" spans="2:22" ht="12.75" customHeight="1" thickBot="1" x14ac:dyDescent="0.3">
      <c r="B39" s="4"/>
      <c r="C39" s="94" t="s">
        <v>54</v>
      </c>
      <c r="D39" s="66" t="s">
        <v>45</v>
      </c>
      <c r="E39" s="66"/>
      <c r="F39" s="66"/>
      <c r="G39" s="93"/>
      <c r="H39" s="146">
        <f>+O33</f>
        <v>0</v>
      </c>
      <c r="J39" s="4"/>
      <c r="K39" s="14" t="str">
        <f>+IF(AA7=1,"AG-Anteil Pflegevers.-&gt;","AG-Anteil Pflegevers.")</f>
        <v>AG-Anteil Pflegevers.</v>
      </c>
      <c r="L39" s="89"/>
      <c r="M39" s="103" t="str">
        <f>IF(E46="","",E46)</f>
        <v/>
      </c>
      <c r="N39" s="156">
        <f>+G46</f>
        <v>1.7999999999999999E-2</v>
      </c>
      <c r="O39" s="154">
        <f>IF(ISERROR(IF($T$7=1,M39,ROUND($V$45*$G$46,0))),"",IF($T$7=1,M39,ROUND($V$45*$G$46,0)))</f>
        <v>0</v>
      </c>
      <c r="P39" s="5"/>
    </row>
    <row r="40" spans="2:22" ht="12.75" customHeight="1" thickBot="1" x14ac:dyDescent="0.3">
      <c r="B40" s="4"/>
      <c r="C40" s="99" t="s">
        <v>14</v>
      </c>
      <c r="D40" s="44" t="s">
        <v>63</v>
      </c>
      <c r="E40" s="44"/>
      <c r="F40" s="44"/>
      <c r="G40" s="44"/>
      <c r="H40" s="152">
        <f>IF(ISERROR(SUM(H38:H39)),"",SUM(H38:H39))</f>
        <v>0</v>
      </c>
      <c r="J40" s="4"/>
      <c r="L40" s="72" t="str">
        <f>IF(AND(OR(L38&lt;&gt;"",L39&lt;&gt;""),AA7=2),"áááá","")</f>
        <v/>
      </c>
      <c r="N40" s="71" t="str">
        <f>+IF(AND(OR(L38&lt;&gt;"",L39&lt;&gt;""),AA7=2),"Werte löschen","")</f>
        <v/>
      </c>
      <c r="P40" s="5"/>
    </row>
    <row r="41" spans="2:22" ht="12.75" customHeight="1" x14ac:dyDescent="0.25">
      <c r="B41" s="4"/>
      <c r="C41" s="49"/>
      <c r="D41" s="21"/>
      <c r="E41" s="21"/>
      <c r="F41" s="21"/>
      <c r="G41" s="21"/>
      <c r="H41" s="50"/>
      <c r="J41" s="4"/>
      <c r="K41" s="15" t="s">
        <v>23</v>
      </c>
      <c r="L41" s="65"/>
      <c r="M41" s="90"/>
      <c r="N41" s="155">
        <f>IF(ISERROR(ROUND($X$22/2,4)),"",ROUND($X$22/2,4))</f>
        <v>9.2999999999999999E-2</v>
      </c>
      <c r="O41" s="153">
        <f>IF(ISERROR(ROUND($V$47*$G$48,0)),"",ROUND($V$47*$G$48,0))</f>
        <v>0</v>
      </c>
      <c r="P41" s="5"/>
    </row>
    <row r="42" spans="2:22" ht="12.75" customHeight="1" thickBot="1" x14ac:dyDescent="0.3">
      <c r="B42" s="4"/>
      <c r="J42" s="4"/>
      <c r="K42" s="6" t="s">
        <v>24</v>
      </c>
      <c r="L42" s="7"/>
      <c r="M42" s="8"/>
      <c r="N42" s="156">
        <f>IF(ISERROR(ROUND($X$23/2,3)),"",ROUND($X$23/2,3))</f>
        <v>1.2999999999999999E-2</v>
      </c>
      <c r="O42" s="154">
        <f>IF(ISERROR(ROUND($V$48*$G$49,0)),"",ROUND($V$48*$G$49,0))</f>
        <v>0</v>
      </c>
      <c r="P42" s="5"/>
    </row>
    <row r="43" spans="2:22" ht="12.75" customHeight="1" x14ac:dyDescent="0.25">
      <c r="B43" s="4"/>
      <c r="C43" s="21" t="str">
        <f>+IF(T16=1,"Der Mitarbeiter ist privat versichert","Der Mitarbeiter ist gesetzlich versichert")</f>
        <v>Der Mitarbeiter ist gesetzlich versichert</v>
      </c>
      <c r="J43" s="4"/>
      <c r="P43" s="5"/>
    </row>
    <row r="44" spans="2:22" ht="12.75" customHeight="1" thickBot="1" x14ac:dyDescent="0.3">
      <c r="B44" s="4"/>
      <c r="E44" s="63" t="str">
        <f>IF(AND(OR($E$45="",$E$46=""),$T$7=1),"ââââ","")</f>
        <v/>
      </c>
      <c r="F44" s="63"/>
      <c r="G44" s="64" t="str">
        <f>+IF(AND(OR($E$45="",$E$46=""),$T$7=1),"Eingabe AG-Anteil","")</f>
        <v/>
      </c>
      <c r="J44" s="4"/>
      <c r="P44" s="5"/>
      <c r="U44" s="32">
        <f>+IF($H$40&gt;X9,X9,H40)</f>
        <v>0</v>
      </c>
      <c r="V44" s="32">
        <f>+IF($H$38&gt;X9,X9,H38)</f>
        <v>0</v>
      </c>
    </row>
    <row r="45" spans="2:22" ht="12.75" customHeight="1" thickBot="1" x14ac:dyDescent="0.3">
      <c r="B45" s="4"/>
      <c r="D45" s="15" t="str">
        <f>+IF(T7=1,"AG-Anteil Krankenvers.-&gt;","AG-Anteil Krankenvers.")</f>
        <v>AG-Anteil Krankenvers.</v>
      </c>
      <c r="E45" s="261" t="str">
        <f>+IF($T$16=1,Eingaben!I48,"")</f>
        <v/>
      </c>
      <c r="F45" s="262"/>
      <c r="G45" s="157">
        <f>IF(ISERROR(IF($T$7=1,"",ROUND(($X$18+$X$19)/2,4))),"",IF($T$7=1,"",ROUND(($X$18+$X$19)/2,4)))</f>
        <v>8.5500000000000007E-2</v>
      </c>
      <c r="H45" s="153">
        <f>+IF($T$7=1,E45,ROUND($U$44*$G$45,0))</f>
        <v>0</v>
      </c>
      <c r="J45" s="4"/>
      <c r="K45" s="57" t="str">
        <f>"AG-Anteil SozVers. bei "&amp;TEXT(H38,"#.00")&amp;" Euro Gehalt"</f>
        <v>AG-Anteil SozVers. bei 00 Euro Gehalt</v>
      </c>
      <c r="L45" s="68"/>
      <c r="M45" s="68"/>
      <c r="N45" s="69"/>
      <c r="O45" s="159">
        <f>IF(ISERROR(SUM(O38,O39,O41,O42)),"",SUM(O38,O39,O41,O42))</f>
        <v>0</v>
      </c>
      <c r="P45" s="5"/>
      <c r="U45" s="32">
        <f>+U44</f>
        <v>0</v>
      </c>
      <c r="V45" s="32">
        <f>+V44</f>
        <v>0</v>
      </c>
    </row>
    <row r="46" spans="2:22" ht="12.75" customHeight="1" thickBot="1" x14ac:dyDescent="0.3">
      <c r="B46" s="4"/>
      <c r="D46" s="14" t="str">
        <f>+IF(T7=1,"AG-Anteil Pflegevers.-&gt;","AG-Anteil Pflegevers.")</f>
        <v>AG-Anteil Pflegevers.</v>
      </c>
      <c r="E46" s="263" t="str">
        <f>+IF($T$16=1,Eingaben!I49,"")</f>
        <v/>
      </c>
      <c r="F46" s="264"/>
      <c r="G46" s="158">
        <f>IF(ISERROR(IF($T$7=1,"",ROUND($X$20/2,6))),"",IF($T$7=1,"",ROUND($X$20/2,6)))</f>
        <v>1.7999999999999999E-2</v>
      </c>
      <c r="H46" s="154">
        <f>+IF($T$7=1,$E$46,ROUND($U$45*$G$46,0))</f>
        <v>0</v>
      </c>
      <c r="J46" s="4"/>
      <c r="K46" s="57" t="str">
        <f>"AG-Anteil SozVers. bei "&amp;TEXT(H40,"#.00")&amp;" Euro Gehalt"</f>
        <v>AG-Anteil SozVers. bei 00 Euro Gehalt</v>
      </c>
      <c r="L46" s="68"/>
      <c r="M46" s="68"/>
      <c r="N46" s="69"/>
      <c r="O46" s="159">
        <f>IF(ISERROR(SUM(H45:H49)),"",SUM(H45:H49))</f>
        <v>0</v>
      </c>
      <c r="P46" s="5"/>
    </row>
    <row r="47" spans="2:22" ht="12.75" customHeight="1" thickBot="1" x14ac:dyDescent="0.3">
      <c r="B47" s="4"/>
      <c r="E47" s="72" t="str">
        <f>IF(AND(OR(E45&lt;&gt;"",E46&lt;&gt;""),T7=2),"áááá","")</f>
        <v/>
      </c>
      <c r="F47" s="72"/>
      <c r="G47" s="71" t="str">
        <f>+IF(AND(OR(E45&lt;&gt;"",E46&lt;&gt;""),T7=2),"Werte löschen","")</f>
        <v/>
      </c>
      <c r="J47" s="4"/>
      <c r="P47" s="5"/>
      <c r="U47" s="32">
        <f>+IF(H40&gt;X11,X11,H40)</f>
        <v>0</v>
      </c>
      <c r="V47" s="32">
        <f>+IF(H38&gt;X11,X11,H38)</f>
        <v>0</v>
      </c>
    </row>
    <row r="48" spans="2:22" ht="12.75" customHeight="1" thickBot="1" x14ac:dyDescent="0.3">
      <c r="B48" s="4"/>
      <c r="D48" s="15" t="s">
        <v>23</v>
      </c>
      <c r="E48" s="65"/>
      <c r="F48" s="65"/>
      <c r="G48" s="157">
        <f>IF(ISERROR(ROUND($X$22/2,4)),"",ROUND($X$22/2,4))</f>
        <v>9.2999999999999999E-2</v>
      </c>
      <c r="H48" s="153">
        <f>ROUND($U$47*$G$48,0)</f>
        <v>0</v>
      </c>
      <c r="J48" s="4"/>
      <c r="P48" s="5"/>
      <c r="U48" s="32">
        <f>+IF(H40&gt;X12,X12,H40)</f>
        <v>0</v>
      </c>
      <c r="V48" s="32">
        <f>+IF(H38&gt;X12,X12,H38)</f>
        <v>0</v>
      </c>
    </row>
    <row r="49" spans="2:16" ht="12.75" customHeight="1" thickBot="1" x14ac:dyDescent="0.3">
      <c r="B49" s="4"/>
      <c r="D49" s="14" t="s">
        <v>24</v>
      </c>
      <c r="E49" s="34"/>
      <c r="F49" s="34"/>
      <c r="G49" s="158">
        <f>IF(ISERROR(ROUND($X$23/2,4)),"",ROUND($X$23/2,4))</f>
        <v>1.2999999999999999E-2</v>
      </c>
      <c r="H49" s="154">
        <f>ROUND($U$48*$G$49,0)</f>
        <v>0</v>
      </c>
      <c r="J49" s="4"/>
      <c r="K49" s="67" t="str">
        <f>IF(O49=0,"Keine Veränderung","Mehrkosten Sozialversicherung")</f>
        <v>Keine Veränderung</v>
      </c>
      <c r="L49" s="70"/>
      <c r="M49" s="70"/>
      <c r="N49" s="91"/>
      <c r="O49" s="160">
        <f>IF(ISERROR(O46-O45),"",O46-O45)</f>
        <v>0</v>
      </c>
      <c r="P49" s="5"/>
    </row>
    <row r="50" spans="2:16" ht="12.75" customHeight="1" x14ac:dyDescent="0.25">
      <c r="B50" s="4"/>
      <c r="J50" s="4"/>
      <c r="P50" s="5"/>
    </row>
    <row r="51" spans="2:16" ht="12.75" customHeight="1" x14ac:dyDescent="0.25">
      <c r="B51" s="4"/>
      <c r="P51" s="5"/>
    </row>
    <row r="52" spans="2:16" ht="12.75" customHeight="1" x14ac:dyDescent="0.25">
      <c r="B52" s="4"/>
      <c r="C52" s="137" t="s">
        <v>55</v>
      </c>
      <c r="D52" s="142"/>
      <c r="E52" s="142"/>
      <c r="F52" s="142"/>
      <c r="G52" s="142"/>
      <c r="H52" s="142"/>
      <c r="I52" s="142"/>
      <c r="J52" s="142"/>
      <c r="K52" s="142"/>
      <c r="L52" s="142"/>
      <c r="M52" s="142"/>
      <c r="N52" s="142"/>
      <c r="O52" s="142"/>
      <c r="P52" s="5"/>
    </row>
    <row r="53" spans="2:16" ht="12.75" customHeight="1" x14ac:dyDescent="0.25">
      <c r="B53" s="4"/>
      <c r="P53" s="5"/>
    </row>
    <row r="54" spans="2:16" ht="12.75" customHeight="1" x14ac:dyDescent="0.25">
      <c r="B54" s="4"/>
      <c r="P54" s="5"/>
    </row>
    <row r="55" spans="2:16" ht="12.75" customHeight="1" thickBot="1" x14ac:dyDescent="0.3">
      <c r="B55" s="4"/>
      <c r="C55" s="21" t="s">
        <v>64</v>
      </c>
      <c r="D55" s="21"/>
      <c r="E55" s="21"/>
      <c r="F55" s="21"/>
      <c r="G55" s="21"/>
      <c r="H55" s="161">
        <f>+O17</f>
        <v>0</v>
      </c>
      <c r="L55" s="3" t="s">
        <v>58</v>
      </c>
      <c r="M55" s="39">
        <f>+H55</f>
        <v>0</v>
      </c>
      <c r="P55" s="5"/>
    </row>
    <row r="56" spans="2:16" ht="12.75" customHeight="1" x14ac:dyDescent="0.25">
      <c r="B56" s="4"/>
      <c r="C56" s="21"/>
      <c r="D56" s="21"/>
      <c r="E56" s="21"/>
      <c r="F56" s="21"/>
      <c r="G56" s="21"/>
      <c r="H56" s="21"/>
      <c r="L56" s="3" t="s">
        <v>60</v>
      </c>
      <c r="M56" s="39">
        <f>+H57</f>
        <v>0</v>
      </c>
      <c r="P56" s="5"/>
    </row>
    <row r="57" spans="2:16" ht="12.75" customHeight="1" thickBot="1" x14ac:dyDescent="0.3">
      <c r="B57" s="4"/>
      <c r="C57" s="21" t="s">
        <v>57</v>
      </c>
      <c r="D57" s="21"/>
      <c r="E57" s="21"/>
      <c r="F57" s="21"/>
      <c r="G57" s="21"/>
      <c r="H57" s="161">
        <f>IF(ISERROR(O25-H55),"",O25-H55)</f>
        <v>0</v>
      </c>
      <c r="L57" s="3" t="s">
        <v>59</v>
      </c>
      <c r="M57" s="39" t="str">
        <f>IF(+H59&gt;0,+H59,"")</f>
        <v/>
      </c>
      <c r="P57" s="5"/>
    </row>
    <row r="58" spans="2:16" ht="12.75" customHeight="1" x14ac:dyDescent="0.25">
      <c r="B58" s="4"/>
      <c r="C58" s="21"/>
      <c r="D58" s="21"/>
      <c r="E58" s="21"/>
      <c r="F58" s="21"/>
      <c r="G58" s="21"/>
      <c r="H58" s="21"/>
      <c r="P58" s="5"/>
    </row>
    <row r="59" spans="2:16" ht="12.75" customHeight="1" thickBot="1" x14ac:dyDescent="0.3">
      <c r="B59" s="4"/>
      <c r="C59" s="21" t="s">
        <v>56</v>
      </c>
      <c r="D59" s="21"/>
      <c r="E59" s="21"/>
      <c r="F59" s="21"/>
      <c r="G59" s="21"/>
      <c r="H59" s="161">
        <f>+O49</f>
        <v>0</v>
      </c>
      <c r="P59" s="5"/>
    </row>
    <row r="60" spans="2:16" ht="12.75" customHeight="1" thickBot="1" x14ac:dyDescent="0.3">
      <c r="B60" s="4"/>
      <c r="P60" s="5"/>
    </row>
    <row r="61" spans="2:16" ht="12.75" customHeight="1" thickBot="1" x14ac:dyDescent="0.3">
      <c r="B61" s="4"/>
      <c r="C61" s="67" t="s">
        <v>21</v>
      </c>
      <c r="D61" s="70"/>
      <c r="E61" s="70"/>
      <c r="F61" s="70"/>
      <c r="G61" s="91"/>
      <c r="H61" s="160">
        <f>IF(ISERROR(SUM(H55,H57,H59)),"",SUM(H55,H57,H59))</f>
        <v>0</v>
      </c>
      <c r="P61" s="5"/>
    </row>
    <row r="62" spans="2:16" ht="12.75" customHeight="1" x14ac:dyDescent="0.25">
      <c r="B62" s="4"/>
      <c r="P62" s="5"/>
    </row>
    <row r="63" spans="2:16" ht="12.75" customHeight="1" thickBot="1" x14ac:dyDescent="0.3">
      <c r="B63" s="6"/>
      <c r="C63" s="7"/>
      <c r="D63" s="7"/>
      <c r="E63" s="7"/>
      <c r="F63" s="7"/>
      <c r="G63" s="7"/>
      <c r="H63" s="7"/>
      <c r="I63" s="7"/>
      <c r="J63" s="7"/>
      <c r="K63" s="7"/>
      <c r="L63" s="7"/>
      <c r="M63" s="7"/>
      <c r="N63" s="7"/>
      <c r="O63" s="7"/>
      <c r="P63" s="8"/>
    </row>
    <row r="64" spans="2:16" ht="12.75" customHeight="1" x14ac:dyDescent="0.25"/>
    <row r="65" spans="2:23" ht="12.75" customHeight="1" x14ac:dyDescent="0.25">
      <c r="E65" s="256" t="s">
        <v>93</v>
      </c>
      <c r="F65" s="256"/>
      <c r="H65" s="205" t="s">
        <v>94</v>
      </c>
      <c r="L65" s="205" t="s">
        <v>85</v>
      </c>
    </row>
    <row r="66" spans="2:23" ht="12.75" customHeight="1" x14ac:dyDescent="0.25"/>
    <row r="67" spans="2:23" ht="12.75" customHeight="1" x14ac:dyDescent="0.25">
      <c r="B67" s="9" t="s">
        <v>119</v>
      </c>
    </row>
    <row r="68" spans="2:23" ht="12.75" customHeight="1" x14ac:dyDescent="0.25">
      <c r="B68" s="9" t="s">
        <v>78</v>
      </c>
    </row>
    <row r="69" spans="2:23" ht="12.75" customHeight="1" x14ac:dyDescent="0.25">
      <c r="B69" s="9" t="s">
        <v>79</v>
      </c>
    </row>
    <row r="70" spans="2:23" ht="12.75" customHeight="1" x14ac:dyDescent="0.25"/>
    <row r="71" spans="2:23" ht="12.75" customHeight="1" x14ac:dyDescent="0.25"/>
    <row r="72" spans="2:23" ht="12.75" customHeight="1" x14ac:dyDescent="0.25">
      <c r="W72" s="3">
        <v>1</v>
      </c>
    </row>
    <row r="73" spans="2:23" ht="12.75" customHeight="1" x14ac:dyDescent="0.25"/>
    <row r="74" spans="2:23" ht="12.75" customHeight="1" x14ac:dyDescent="0.25"/>
    <row r="75" spans="2:23" ht="12.75" customHeight="1" x14ac:dyDescent="0.25"/>
    <row r="76" spans="2:23" ht="12.75" customHeight="1" x14ac:dyDescent="0.25"/>
    <row r="77" spans="2:23" ht="12.75" customHeight="1" x14ac:dyDescent="0.25"/>
    <row r="78" spans="2:23" ht="12.75" customHeight="1" x14ac:dyDescent="0.25"/>
    <row r="79" spans="2:23" ht="12.75" customHeight="1" x14ac:dyDescent="0.25"/>
    <row r="80" spans="2:23"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row r="224" ht="12.75" customHeight="1" x14ac:dyDescent="0.25"/>
    <row r="225" ht="12.75" customHeight="1" x14ac:dyDescent="0.25"/>
  </sheetData>
  <sheetProtection sheet="1" objects="1" scenarios="1"/>
  <mergeCells count="5">
    <mergeCell ref="E65:F65"/>
    <mergeCell ref="C3:O3"/>
    <mergeCell ref="G8:H8"/>
    <mergeCell ref="E45:F45"/>
    <mergeCell ref="E46:F46"/>
  </mergeCells>
  <phoneticPr fontId="5" type="noConversion"/>
  <conditionalFormatting sqref="D45:D46 K38:K39">
    <cfRule type="expression" dxfId="10" priority="1" stopIfTrue="1">
      <formula>$T$7=2</formula>
    </cfRule>
  </conditionalFormatting>
  <conditionalFormatting sqref="L38:L39">
    <cfRule type="expression" dxfId="9" priority="2" stopIfTrue="1">
      <formula>$T$7=2</formula>
    </cfRule>
  </conditionalFormatting>
  <conditionalFormatting sqref="G45:G46">
    <cfRule type="expression" dxfId="8" priority="3" stopIfTrue="1">
      <formula>$T$16=1</formula>
    </cfRule>
  </conditionalFormatting>
  <conditionalFormatting sqref="E45:F46">
    <cfRule type="expression" dxfId="7" priority="4" stopIfTrue="1">
      <formula>$T$7=1</formula>
    </cfRule>
  </conditionalFormatting>
  <conditionalFormatting sqref="N38:N39">
    <cfRule type="expression" dxfId="6" priority="5" stopIfTrue="1">
      <formula>$T$16=1</formula>
    </cfRule>
  </conditionalFormatting>
  <conditionalFormatting sqref="M38:M39">
    <cfRule type="expression" dxfId="5" priority="6" stopIfTrue="1">
      <formula>$T$16=1</formula>
    </cfRule>
  </conditionalFormatting>
  <conditionalFormatting sqref="O31">
    <cfRule type="expression" dxfId="4" priority="7" stopIfTrue="1">
      <formula>$U$27=1</formula>
    </cfRule>
  </conditionalFormatting>
  <conditionalFormatting sqref="G33:G34">
    <cfRule type="expression" dxfId="3" priority="8" stopIfTrue="1">
      <formula>$U$27=0</formula>
    </cfRule>
    <cfRule type="expression" dxfId="2" priority="9" stopIfTrue="1">
      <formula>$U$27=1</formula>
    </cfRule>
  </conditionalFormatting>
  <dataValidations count="21">
    <dataValidation type="whole" allowBlank="1" showErrorMessage="1" errorTitle="Veränderung" error="Hier bitte die Veränderung des Bruttoverdienstes als Euro-Wert (zwischen 0 und 1.000.000 Euro) ohne Nachkommastellen eingeben." sqref="H39" xr:uid="{00000000-0002-0000-0200-000000000000}">
      <formula1>-H38</formula1>
      <formula2>1000000</formula2>
    </dataValidation>
    <dataValidation type="whole" allowBlank="1" showErrorMessage="1" errorTitle="Entfernung Haushalt/Arbeit" error="Hier bitte die Entfernungskilometer zwischen doppelterm Haushalt und Arbeit (ganze Zahl) zwischen 0 und 2.500 eingeben." sqref="G34" xr:uid="{00000000-0002-0000-0200-000001000000}">
      <formula1>0</formula1>
      <formula2>500</formula2>
    </dataValidation>
    <dataValidation type="whole" allowBlank="1" showErrorMessage="1" errorTitle="Anzahl Heimfahrten" error="Hier bitte die Anzahl der Familienheimfahrten eingeben." sqref="G33" xr:uid="{00000000-0002-0000-0200-000002000000}">
      <formula1>0</formula1>
      <formula2>100</formula2>
    </dataValidation>
    <dataValidation type="whole" allowBlank="1" showErrorMessage="1" errorTitle="Entfernung Wohnung/Arbeit" error="Hier bitte die Entfernungskilometer zwischen Wohnung und Arbeit (ganze Zahl) zwischen 0 und 500 eingeben." sqref="G29" xr:uid="{00000000-0002-0000-0200-000003000000}">
      <formula1>0</formula1>
      <formula2>500</formula2>
    </dataValidation>
    <dataValidation type="whole" allowBlank="1" showErrorMessage="1" errorTitle="Kilometerleistung" error="Hier bitte die Laufleistung des PKWs in Kilometer pro Jahr (zwischen 1 und 150.000) eingeben." sqref="G17" xr:uid="{00000000-0002-0000-0200-000004000000}">
      <formula1>1</formula1>
      <formula2>150000</formula2>
    </dataValidation>
    <dataValidation type="decimal" allowBlank="1" showErrorMessage="1" errorTitle="Verbrauch eingeben" error="Hier bitte den Verbrauch in Litern je 100 Kilometer (zwischen 1 und 25) eingeben." sqref="G18" xr:uid="{00000000-0002-0000-0200-000005000000}">
      <formula1>0.5</formula1>
      <formula2>25</formula2>
    </dataValidation>
    <dataValidation type="decimal" allowBlank="1" showErrorMessage="1" errorTitle="Treibstoffpreis" error="Hier bitte den angenommenen Preis für ein Liter Treibstoff (Diesel oder Benzin) zwischen 0,50 und 5,00 Euro eingeben." sqref="G19" xr:uid="{00000000-0002-0000-0200-000006000000}">
      <formula1>0.25</formula1>
      <formula2>5</formula2>
    </dataValidation>
    <dataValidation type="decimal" allowBlank="1" showErrorMessage="1" errorTitle="Kfz-Steuer" error="Hier bitte die voraussichtliche Kfz-Steuer (wischen 1 und 5.000) eingeben" sqref="G21" xr:uid="{00000000-0002-0000-0200-000007000000}">
      <formula1>1</formula1>
      <formula2>5000</formula2>
    </dataValidation>
    <dataValidation type="decimal" allowBlank="1" showErrorMessage="1" errorTitle="Kfz-Versicherung" error="Hier bitte die voraussichtliche Kfz-Versicherung (wischen 1 und 5.000) eingeben" sqref="G22" xr:uid="{00000000-0002-0000-0200-000008000000}">
      <formula1>1</formula1>
      <formula2>5000</formula2>
    </dataValidation>
    <dataValidation type="decimal" allowBlank="1" showErrorMessage="1" errorTitle="Inspektion und Reparaturen" error="Hier bitte die voraussichtlichen Inspektions- und Reparaturkosten (wischen 1 und 10.000) eingeben." sqref="G23" xr:uid="{00000000-0002-0000-0200-000009000000}">
      <formula1>1</formula1>
      <formula2>10000</formula2>
    </dataValidation>
    <dataValidation type="decimal" allowBlank="1" showErrorMessage="1" errorTitle="Kosten für Verschließ" error="Hier bitte die voraussichtlichen Kosten für Verschleißteile (insb. Reifen) (wischen 1 und 5.000) eingeben" sqref="G24" xr:uid="{00000000-0002-0000-0200-00000A000000}">
      <formula1>1</formula1>
      <formula2>5000</formula2>
    </dataValidation>
    <dataValidation type="decimal" allowBlank="1" showErrorMessage="1" errorTitle="Sonstige Kosten" error="Hier bitte die voraussichtlichen sonstigen Kosten (zwischen 1 und 10.000) eingeben." sqref="G25" xr:uid="{00000000-0002-0000-0200-00000B000000}">
      <formula1>1</formula1>
      <formula2>10000</formula2>
    </dataValidation>
    <dataValidation type="whole" allowBlank="1" showErrorMessage="1" errorTitle="AG-Anteile eingeben" error="Hier bitte nur die Arbeitgeberanteile für Kranken- bzw. Pflegeversicherung in Euro (zwischen 0 und 50.000 Euro) ohne Nachkommastellen eingeben." sqref="L38:L39 E45:E46" xr:uid="{00000000-0002-0000-0200-00000C000000}">
      <formula1>0</formula1>
      <formula2>50000</formula2>
    </dataValidation>
    <dataValidation type="whole" allowBlank="1" showErrorMessage="1" errorTitle="Bruttoverdienst" error="Hier bitte den Bruttoverdienst (zwischen 0 und 1.000.000 Euro) eines Jahres (evtl. des Vorjahres) ohne Nachkommastellen in Euro eingeben." sqref="H38" xr:uid="{00000000-0002-0000-0200-00000D000000}">
      <formula1>0</formula1>
      <formula2>1000000</formula2>
    </dataValidation>
    <dataValidation type="decimal" allowBlank="1" showErrorMessage="1" errorTitle="Sonderausstattung" error="Hier bitte die Sonderausstattung (zwischen o und 25.000 Euro) eingeben, die im Listenverkaufspreis noch nicht berücksichtigt wurde." sqref="G11" xr:uid="{00000000-0002-0000-0200-00000E000000}">
      <formula1>0</formula1>
      <formula2>25000</formula2>
    </dataValidation>
    <dataValidation type="decimal" allowBlank="1" showErrorMessage="1" errorTitle="Listenverkaufspreis" error="Hier bitte den Listenverkaufspreis inkl. USt (zwischen 5.000 und 500.000 Euro) eingeben." sqref="G10" xr:uid="{00000000-0002-0000-0200-00000F000000}">
      <formula1>5000</formula1>
      <formula2>500000</formula2>
    </dataValidation>
    <dataValidation type="decimal" allowBlank="1" showErrorMessage="1" errorTitle="Leasingrate eingeben" error="Hier bitte die monatliche Leasingrate (zwischen 0 und 10.000 Euro) eingeben." sqref="G16" xr:uid="{00000000-0002-0000-0200-000010000000}">
      <formula1>0</formula1>
      <formula2>10000</formula2>
    </dataValidation>
    <dataValidation type="decimal" allowBlank="1" showErrorMessage="1" errorTitle="Kilometerpauschale" error="Hier bitte die aktuelle Kilometerpauschale (Werbungskosten) eingeben." sqref="O12:O13 AA13:AB13" xr:uid="{00000000-0002-0000-0200-000011000000}">
      <formula1>0</formula1>
      <formula2>1</formula2>
    </dataValidation>
    <dataValidation type="decimal" allowBlank="1" showErrorMessage="1" errorTitle="Familienheimfahrten" error="Hier bitte angeben, mit welchen Prozentwert Fahrten zwischen Wohnung und Arbeit angesetzt werden." sqref="O11 AA12" xr:uid="{00000000-0002-0000-0200-000012000000}">
      <formula1>0</formula1>
      <formula2>0.01</formula2>
    </dataValidation>
    <dataValidation type="decimal" allowBlank="1" showInputMessage="1" showErrorMessage="1" errorTitle="Fahrten Wohnun Arbeit" error="Hier bitte angeben, mit welchen Prozentwert Fahrten zwischen Wohnung und Arbeit angesetzt werden." sqref="O10 AA11:AB11 AB12 AB8" xr:uid="{00000000-0002-0000-0200-000013000000}">
      <formula1>0</formula1>
      <formula2>0.01</formula2>
    </dataValidation>
    <dataValidation type="decimal" allowBlank="1" showErrorMessage="1" errorTitle="Satz für Pauschalversteuerung" error="Hier bitte den Satz für die Pauschalversteuerung eingeben." sqref="AA8 O9" xr:uid="{00000000-0002-0000-0200-000014000000}">
      <formula1>0</formula1>
      <formula2>0.05</formula2>
    </dataValidation>
  </dataValidations>
  <hyperlinks>
    <hyperlink ref="E65:F65" location="Startseite!Startseite" display="&lt;&lt; Startseite" xr:uid="{00000000-0004-0000-0200-000000000000}"/>
    <hyperlink ref="H65" location="HilfeB3" display="Hilfe" xr:uid="{00000000-0004-0000-0200-000001000000}"/>
    <hyperlink ref="L65" location="BeispielB3" display="Beispiel" xr:uid="{00000000-0004-0000-0200-000002000000}"/>
  </hyperlinks>
  <printOptions horizontalCentered="1"/>
  <pageMargins left="0.39370078740157483" right="0.39370078740157483" top="0.59055118110236227" bottom="0.59055118110236227" header="0.51181102362204722" footer="0.51181102362204722"/>
  <pageSetup paperSize="9" scale="8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6">
    <pageSetUpPr autoPageBreaks="0" fitToPage="1"/>
  </sheetPr>
  <dimension ref="B2:T213"/>
  <sheetViews>
    <sheetView showGridLines="0" zoomScaleNormal="100" zoomScaleSheetLayoutView="75" workbookViewId="0">
      <selection activeCell="B3" sqref="B3:J3"/>
    </sheetView>
  </sheetViews>
  <sheetFormatPr baseColWidth="10" defaultColWidth="11.44140625" defaultRowHeight="13.2" x14ac:dyDescent="0.25"/>
  <cols>
    <col min="1" max="1" width="11.44140625" style="3" customWidth="1"/>
    <col min="2" max="2" width="1.6640625" style="3" customWidth="1"/>
    <col min="3" max="3" width="2.88671875" style="3" customWidth="1"/>
    <col min="4" max="4" width="21.88671875" style="3" customWidth="1"/>
    <col min="5" max="5" width="16.88671875" style="3" customWidth="1"/>
    <col min="6" max="6" width="9.44140625" style="3" customWidth="1"/>
    <col min="7" max="7" width="1.88671875" style="3" customWidth="1"/>
    <col min="8" max="8" width="10.44140625" style="3" bestFit="1" customWidth="1"/>
    <col min="9" max="9" width="9" style="3" customWidth="1"/>
    <col min="10" max="10" width="1.44140625" style="3" customWidth="1"/>
    <col min="11" max="11" width="1.44140625" customWidth="1"/>
    <col min="12" max="12" width="3" customWidth="1"/>
    <col min="13" max="13" width="7.6640625" customWidth="1"/>
    <col min="14" max="14" width="7.6640625" style="21" customWidth="1"/>
    <col min="15" max="15" width="7.6640625" style="3" customWidth="1"/>
    <col min="16" max="16" width="33.5546875" style="3" hidden="1" customWidth="1"/>
    <col min="17" max="20" width="0" style="3" hidden="1" customWidth="1"/>
    <col min="21" max="25" width="11.44140625" style="3" customWidth="1"/>
    <col min="26" max="26" width="3.44140625" style="3" customWidth="1"/>
    <col min="27" max="16384" width="11.44140625" style="3"/>
  </cols>
  <sheetData>
    <row r="2" spans="2:20" ht="13.8" thickBot="1" x14ac:dyDescent="0.3">
      <c r="J2" s="114"/>
    </row>
    <row r="3" spans="2:20" ht="48" customHeight="1" thickBot="1" x14ac:dyDescent="0.3">
      <c r="B3" s="248" t="s">
        <v>97</v>
      </c>
      <c r="C3" s="249"/>
      <c r="D3" s="249"/>
      <c r="E3" s="249"/>
      <c r="F3" s="249"/>
      <c r="G3" s="249"/>
      <c r="H3" s="249"/>
      <c r="I3" s="249"/>
      <c r="J3" s="250"/>
      <c r="N3" s="16"/>
      <c r="O3" s="16"/>
    </row>
    <row r="4" spans="2:20" x14ac:dyDescent="0.25">
      <c r="B4" s="4"/>
      <c r="J4" s="5"/>
    </row>
    <row r="5" spans="2:20" ht="12.75" customHeight="1" thickBot="1" x14ac:dyDescent="0.3">
      <c r="B5" s="4"/>
      <c r="C5" s="113" t="s">
        <v>66</v>
      </c>
      <c r="D5" s="113"/>
      <c r="E5" s="109"/>
      <c r="F5" s="109"/>
      <c r="G5" s="109"/>
      <c r="H5" s="109"/>
      <c r="I5" s="109"/>
      <c r="J5" s="5"/>
    </row>
    <row r="6" spans="2:20" ht="12.75" customHeight="1" x14ac:dyDescent="0.25">
      <c r="B6" s="4"/>
      <c r="J6" s="5"/>
      <c r="P6" s="162">
        <v>2</v>
      </c>
      <c r="Q6" s="17">
        <v>1</v>
      </c>
      <c r="R6" s="18"/>
      <c r="S6" s="19">
        <v>2</v>
      </c>
      <c r="T6" s="20" t="s">
        <v>19</v>
      </c>
    </row>
    <row r="7" spans="2:20" ht="12.75" customHeight="1" thickBot="1" x14ac:dyDescent="0.3">
      <c r="B7" s="4"/>
      <c r="C7" s="3" t="s">
        <v>26</v>
      </c>
      <c r="H7" s="246" t="s">
        <v>27</v>
      </c>
      <c r="I7" s="247"/>
      <c r="J7" s="5"/>
      <c r="P7" s="22" t="str">
        <f>+IF(H40="Alte Bundesländer","West","Ost")</f>
        <v>Ost</v>
      </c>
      <c r="Q7" s="23" t="s">
        <v>15</v>
      </c>
      <c r="R7" s="24" t="s">
        <v>16</v>
      </c>
      <c r="S7" s="25" t="s">
        <v>17</v>
      </c>
      <c r="T7" s="26"/>
    </row>
    <row r="8" spans="2:20" ht="12.75" customHeight="1" x14ac:dyDescent="0.25">
      <c r="B8" s="4"/>
      <c r="H8" s="213"/>
      <c r="I8" s="213"/>
      <c r="J8" s="5"/>
      <c r="P8" s="12" t="s">
        <v>7</v>
      </c>
      <c r="Q8" s="27" t="str">
        <f>IF($P$6&lt;&gt;$Q$6,"",IF($P$7="West",Rechengrößen!E11,Rechengrößen!F11))</f>
        <v/>
      </c>
      <c r="R8" s="28" t="str">
        <f>IF($P$6&lt;&gt;$R$6,"",IF($P$7="West",Rechengrößen!E15,Rechengrößen!F15))</f>
        <v/>
      </c>
      <c r="S8" s="29">
        <f>IF($P$6&lt;&gt;$S$6,"",IF($P$7="West",Rechengrößen!E11,Rechengrößen!F11))</f>
        <v>66150</v>
      </c>
      <c r="T8" s="30">
        <f>SUM(Q8:S8)</f>
        <v>66150</v>
      </c>
    </row>
    <row r="9" spans="2:20" ht="12.75" customHeight="1" x14ac:dyDescent="0.25">
      <c r="B9" s="4"/>
      <c r="C9" s="3" t="s">
        <v>108</v>
      </c>
      <c r="H9" s="265" t="s">
        <v>111</v>
      </c>
      <c r="I9" s="266"/>
      <c r="J9" s="5"/>
      <c r="P9" s="13" t="s">
        <v>8</v>
      </c>
      <c r="Q9" s="31" t="str">
        <f>IF($P$6&lt;&gt;$Q$6,"",IF($P$7="West",Rechengrößen!E12,Rechengrößen!F12))</f>
        <v/>
      </c>
      <c r="R9" s="32" t="str">
        <f>IF($P$6&lt;&gt;$R$6,"",IF($P$7="West",Rechengrößen!E15,Rechengrößen!F15))</f>
        <v/>
      </c>
      <c r="S9" s="33">
        <f>IF($P$6&lt;&gt;$S$6,"",IF($P$7="West",Rechengrößen!E12,Rechengrößen!F12))</f>
        <v>66150</v>
      </c>
      <c r="T9" s="11">
        <f>SUM(Q9:S9)</f>
        <v>66150</v>
      </c>
    </row>
    <row r="10" spans="2:20" ht="12.75" customHeight="1" x14ac:dyDescent="0.25">
      <c r="B10" s="4"/>
      <c r="J10" s="5"/>
      <c r="P10" s="13" t="s">
        <v>9</v>
      </c>
      <c r="Q10" s="31" t="str">
        <f>IF($P$6&lt;&gt;$Q$6,"",IF($P$7="West",Rechengrößen!E13,Rechengrößen!F13))</f>
        <v/>
      </c>
      <c r="R10" s="32" t="str">
        <f>IF($P$6&lt;&gt;$R$6,"",IF($P$7="West",Rechengrößen!E15,Rechengrößen!F15))</f>
        <v/>
      </c>
      <c r="S10" s="33">
        <f>++IF($P$6&lt;&gt;$S$6,"",IF($P$7="West",Rechengrößen!E13,Rechengrößen!F13))</f>
        <v>96600</v>
      </c>
      <c r="T10" s="11">
        <f>SUM(Q10:S10)</f>
        <v>96600</v>
      </c>
    </row>
    <row r="11" spans="2:20" ht="12.75" customHeight="1" x14ac:dyDescent="0.25">
      <c r="B11" s="4"/>
      <c r="C11" s="3" t="s">
        <v>28</v>
      </c>
      <c r="H11" s="214">
        <v>37500</v>
      </c>
      <c r="J11" s="5"/>
      <c r="P11" s="13" t="s">
        <v>10</v>
      </c>
      <c r="Q11" s="31" t="str">
        <f>IF($P$6&lt;&gt;$Q$6,"",IF($P$7="West",Rechengrößen!E14,Rechengrößen!F14))</f>
        <v/>
      </c>
      <c r="R11" s="32" t="str">
        <f>IF($P$6&lt;&gt;$R$6,"",IF($P$7="West",Rechengrößen!E14,Rechengrößen!F14))</f>
        <v/>
      </c>
      <c r="S11" s="33">
        <f>+IF($P$6&lt;&gt;$S$6,"",IF($P$7="West",Rechengrößen!E14,Rechengrößen!F14))</f>
        <v>96600</v>
      </c>
      <c r="T11" s="11">
        <f>SUM(Q11:S11)</f>
        <v>96600</v>
      </c>
    </row>
    <row r="12" spans="2:20" ht="12.75" customHeight="1" thickBot="1" x14ac:dyDescent="0.3">
      <c r="B12" s="4"/>
      <c r="C12" s="3" t="s">
        <v>29</v>
      </c>
      <c r="H12" s="214">
        <v>2546</v>
      </c>
      <c r="J12" s="5"/>
      <c r="P12" s="14" t="s">
        <v>11</v>
      </c>
      <c r="Q12" s="35" t="str">
        <f>IF($P$6&lt;&gt;$Q$6,"",IF($P$7="West",Rechengrößen!E15,Rechengrößen!F15))</f>
        <v/>
      </c>
      <c r="R12" s="36"/>
      <c r="S12" s="37"/>
      <c r="T12" s="38">
        <f>SUM(Q12:S12)</f>
        <v>0</v>
      </c>
    </row>
    <row r="13" spans="2:20" ht="12.75" customHeight="1" x14ac:dyDescent="0.25">
      <c r="B13" s="4"/>
      <c r="C13" s="3" t="s">
        <v>30</v>
      </c>
      <c r="H13" s="134">
        <f>+H11+H12</f>
        <v>40046</v>
      </c>
      <c r="J13" s="5"/>
    </row>
    <row r="14" spans="2:20" ht="12.75" customHeight="1" thickBot="1" x14ac:dyDescent="0.3">
      <c r="B14" s="4"/>
      <c r="J14" s="5"/>
    </row>
    <row r="15" spans="2:20" ht="12.75" customHeight="1" x14ac:dyDescent="0.25">
      <c r="B15" s="4"/>
      <c r="C15" s="3" t="s">
        <v>31</v>
      </c>
      <c r="H15" s="214">
        <v>750</v>
      </c>
      <c r="J15" s="5"/>
      <c r="P15" s="163">
        <f>+P6</f>
        <v>2</v>
      </c>
      <c r="Q15" s="17">
        <v>1</v>
      </c>
      <c r="R15" s="18"/>
      <c r="S15" s="19">
        <v>2</v>
      </c>
      <c r="T15" s="20" t="s">
        <v>19</v>
      </c>
    </row>
    <row r="16" spans="2:20" ht="12.75" customHeight="1" thickBot="1" x14ac:dyDescent="0.3">
      <c r="B16" s="4"/>
      <c r="J16" s="5"/>
      <c r="P16" s="22" t="str">
        <f>+P7</f>
        <v>Ost</v>
      </c>
      <c r="Q16" s="23" t="s">
        <v>15</v>
      </c>
      <c r="R16" s="24" t="s">
        <v>16</v>
      </c>
      <c r="S16" s="25" t="s">
        <v>17</v>
      </c>
      <c r="T16" s="26"/>
    </row>
    <row r="17" spans="2:20" ht="12.75" customHeight="1" x14ac:dyDescent="0.25">
      <c r="B17" s="4"/>
      <c r="C17" s="3" t="s">
        <v>32</v>
      </c>
      <c r="G17" s="39"/>
      <c r="H17" s="215">
        <v>30000</v>
      </c>
      <c r="J17" s="5"/>
      <c r="P17" s="15" t="s">
        <v>7</v>
      </c>
      <c r="Q17" s="40"/>
      <c r="R17" s="41" t="str">
        <f>+IF($P$15&lt;&gt;R$15,"",Rechengrößen!E26)</f>
        <v/>
      </c>
      <c r="S17" s="42">
        <f>+IF(P15&lt;&gt;S15,"",Rechengrößen!E26)</f>
        <v>0.14599999999999999</v>
      </c>
      <c r="T17" s="43">
        <f t="shared" ref="T17:T22" si="0">SUM(Q17:S17)</f>
        <v>0.14599999999999999</v>
      </c>
    </row>
    <row r="18" spans="2:20" ht="12.75" customHeight="1" x14ac:dyDescent="0.25">
      <c r="B18" s="4"/>
      <c r="C18" s="3" t="s">
        <v>33</v>
      </c>
      <c r="H18" s="216">
        <v>9.1999999999999993</v>
      </c>
      <c r="J18" s="5"/>
      <c r="P18" s="12" t="s">
        <v>22</v>
      </c>
      <c r="Q18" s="45"/>
      <c r="R18" s="46" t="str">
        <f>+IF(R17="","",Rechengrößen!E27)</f>
        <v/>
      </c>
      <c r="S18" s="47">
        <f>+IF(S17="","",Rechengrößen!E20)</f>
        <v>2.5000000000000001E-2</v>
      </c>
      <c r="T18" s="48">
        <f t="shared" si="0"/>
        <v>2.5000000000000001E-2</v>
      </c>
    </row>
    <row r="19" spans="2:20" ht="12.75" customHeight="1" x14ac:dyDescent="0.25">
      <c r="B19" s="4"/>
      <c r="C19" s="3" t="s">
        <v>34</v>
      </c>
      <c r="H19" s="217">
        <v>1.4</v>
      </c>
      <c r="J19" s="5"/>
      <c r="P19" s="13" t="s">
        <v>8</v>
      </c>
      <c r="Q19" s="51"/>
      <c r="R19" s="52" t="str">
        <f>+IF(R17="","",Rechengrößen!E19)</f>
        <v/>
      </c>
      <c r="S19" s="53">
        <f>+IF(S17="","",Rechengrößen!E19)</f>
        <v>3.5999999999999997E-2</v>
      </c>
      <c r="T19" s="54">
        <f t="shared" si="0"/>
        <v>3.5999999999999997E-2</v>
      </c>
    </row>
    <row r="20" spans="2:20" ht="12.75" customHeight="1" x14ac:dyDescent="0.25">
      <c r="B20" s="4"/>
      <c r="J20" s="5"/>
      <c r="P20" s="13" t="s">
        <v>20</v>
      </c>
      <c r="Q20" s="51"/>
      <c r="R20" s="52" t="str">
        <f>+IF(R17="","",Rechengrößen!E20)</f>
        <v/>
      </c>
      <c r="S20" s="53">
        <f>+IF(S17="","",Rechengrößen!E20)</f>
        <v>2.5000000000000001E-2</v>
      </c>
      <c r="T20" s="54">
        <f t="shared" si="0"/>
        <v>2.5000000000000001E-2</v>
      </c>
    </row>
    <row r="21" spans="2:20" ht="12.75" customHeight="1" x14ac:dyDescent="0.25">
      <c r="B21" s="4"/>
      <c r="C21" s="3" t="s">
        <v>35</v>
      </c>
      <c r="G21" s="39"/>
      <c r="H21" s="218">
        <v>750</v>
      </c>
      <c r="J21" s="5"/>
      <c r="P21" s="13" t="s">
        <v>9</v>
      </c>
      <c r="Q21" s="51" t="str">
        <f>+IF($P$15&lt;&gt;Q$15,"",IF(Q7="","",Rechengrößen!E23))</f>
        <v/>
      </c>
      <c r="R21" s="52" t="str">
        <f>+IF(R17="","",Rechengrößen!E24)</f>
        <v/>
      </c>
      <c r="S21" s="53">
        <f>+IF(S17="","",Rechengrößen!E23)</f>
        <v>0.186</v>
      </c>
      <c r="T21" s="54">
        <f t="shared" si="0"/>
        <v>0.186</v>
      </c>
    </row>
    <row r="22" spans="2:20" ht="12.75" customHeight="1" thickBot="1" x14ac:dyDescent="0.3">
      <c r="B22" s="4"/>
      <c r="C22" s="3" t="s">
        <v>38</v>
      </c>
      <c r="G22" s="39"/>
      <c r="H22" s="218">
        <v>750</v>
      </c>
      <c r="J22" s="5"/>
      <c r="P22" s="14" t="s">
        <v>10</v>
      </c>
      <c r="Q22" s="60" t="str">
        <f>+IF(Q21="","",Rechengrößen!E22)</f>
        <v/>
      </c>
      <c r="R22" s="61" t="str">
        <f>+IF(R17="","",Rechengrößen!E22)</f>
        <v/>
      </c>
      <c r="S22" s="62">
        <f>+IF(S17="","",Rechengrößen!E22)</f>
        <v>2.5999999999999999E-2</v>
      </c>
      <c r="T22" s="54">
        <f t="shared" si="0"/>
        <v>2.5999999999999999E-2</v>
      </c>
    </row>
    <row r="23" spans="2:20" ht="12.75" customHeight="1" x14ac:dyDescent="0.25">
      <c r="B23" s="4"/>
      <c r="C23" s="3" t="s">
        <v>36</v>
      </c>
      <c r="G23" s="39"/>
      <c r="H23" s="218">
        <v>1500</v>
      </c>
      <c r="J23" s="5"/>
    </row>
    <row r="24" spans="2:20" ht="12.75" customHeight="1" x14ac:dyDescent="0.25">
      <c r="B24" s="4"/>
      <c r="C24" s="3" t="s">
        <v>37</v>
      </c>
      <c r="G24" s="39"/>
      <c r="H24" s="218">
        <v>1500</v>
      </c>
      <c r="J24" s="5"/>
      <c r="P24" s="3" t="b">
        <v>1</v>
      </c>
    </row>
    <row r="25" spans="2:20" ht="12.75" customHeight="1" thickBot="1" x14ac:dyDescent="0.3">
      <c r="B25" s="4"/>
      <c r="C25" s="3" t="s">
        <v>39</v>
      </c>
      <c r="G25" s="39"/>
      <c r="H25" s="218">
        <v>2000</v>
      </c>
      <c r="J25" s="5"/>
    </row>
    <row r="26" spans="2:20" ht="12.75" customHeight="1" thickBot="1" x14ac:dyDescent="0.3">
      <c r="B26" s="4"/>
      <c r="J26" s="5"/>
      <c r="P26" s="104" t="b">
        <v>1</v>
      </c>
      <c r="Q26" s="98">
        <f>+IF(P26=FALSE(),0,1)</f>
        <v>1</v>
      </c>
    </row>
    <row r="27" spans="2:20" ht="12.75" customHeight="1" x14ac:dyDescent="0.25">
      <c r="B27" s="4"/>
      <c r="C27" s="113" t="s">
        <v>69</v>
      </c>
      <c r="D27" s="113"/>
      <c r="E27" s="109"/>
      <c r="F27" s="109"/>
      <c r="G27" s="109"/>
      <c r="H27" s="109"/>
      <c r="I27" s="109"/>
      <c r="J27" s="5"/>
    </row>
    <row r="28" spans="2:20" ht="12.75" customHeight="1" x14ac:dyDescent="0.25">
      <c r="B28" s="4"/>
      <c r="J28" s="5"/>
    </row>
    <row r="29" spans="2:20" ht="12.75" customHeight="1" x14ac:dyDescent="0.25">
      <c r="B29" s="4"/>
      <c r="C29" s="3" t="str">
        <f>IF(Q26=0,"Entfernung Wohnung / Arbeit (km)","Entfernung dopp. Haush. / Arbeit (km)")</f>
        <v>Entfernung dopp. Haush. / Arbeit (km)</v>
      </c>
      <c r="H29" s="92">
        <v>30</v>
      </c>
      <c r="J29" s="5"/>
    </row>
    <row r="30" spans="2:20" ht="12.75" customHeight="1" x14ac:dyDescent="0.25">
      <c r="B30" s="4"/>
      <c r="J30" s="5"/>
    </row>
    <row r="31" spans="2:20" ht="12.75" customHeight="1" x14ac:dyDescent="0.25">
      <c r="B31" s="4"/>
      <c r="J31" s="5"/>
    </row>
    <row r="32" spans="2:20" ht="12.75" customHeight="1" x14ac:dyDescent="0.25">
      <c r="B32" s="4"/>
      <c r="C32" s="3" t="str">
        <f>+IF($Q$26=0,"","Anzahl Heimfahrten pro Jahr")</f>
        <v>Anzahl Heimfahrten pro Jahr</v>
      </c>
      <c r="H32" s="92">
        <v>20</v>
      </c>
      <c r="J32" s="5"/>
    </row>
    <row r="33" spans="2:18" ht="12.75" customHeight="1" x14ac:dyDescent="0.25">
      <c r="B33" s="4"/>
      <c r="C33" s="3" t="str">
        <f>+IF($Q$26=0,"","Entfernung Arbeit / Heimat")</f>
        <v>Entfernung Arbeit / Heimat</v>
      </c>
      <c r="H33" s="92">
        <v>150</v>
      </c>
      <c r="J33" s="5"/>
    </row>
    <row r="34" spans="2:18" ht="12.75" customHeight="1" x14ac:dyDescent="0.25">
      <c r="B34" s="4"/>
      <c r="J34" s="5"/>
    </row>
    <row r="35" spans="2:18" ht="12.75" customHeight="1" x14ac:dyDescent="0.25">
      <c r="B35" s="4"/>
      <c r="J35" s="5"/>
    </row>
    <row r="36" spans="2:18" ht="12.75" customHeight="1" x14ac:dyDescent="0.25">
      <c r="B36" s="4"/>
      <c r="C36" s="113" t="s">
        <v>70</v>
      </c>
      <c r="D36" s="113"/>
      <c r="E36" s="109"/>
      <c r="F36" s="109"/>
      <c r="G36" s="109"/>
      <c r="H36" s="109"/>
      <c r="I36" s="109"/>
      <c r="J36" s="5"/>
    </row>
    <row r="37" spans="2:18" ht="12.75" customHeight="1" x14ac:dyDescent="0.25">
      <c r="B37" s="4"/>
      <c r="J37" s="5"/>
    </row>
    <row r="38" spans="2:18" ht="12.75" customHeight="1" x14ac:dyDescent="0.25">
      <c r="B38" s="4"/>
      <c r="C38" s="106" t="s">
        <v>62</v>
      </c>
      <c r="D38" s="108"/>
      <c r="E38" s="96"/>
      <c r="F38" s="96"/>
      <c r="G38" s="96"/>
      <c r="H38" s="97"/>
      <c r="I38" s="100">
        <v>50000</v>
      </c>
      <c r="J38" s="5"/>
    </row>
    <row r="39" spans="2:18" ht="12.75" customHeight="1" x14ac:dyDescent="0.25">
      <c r="B39" s="4"/>
      <c r="C39"/>
      <c r="D39"/>
      <c r="E39"/>
      <c r="F39"/>
      <c r="G39"/>
      <c r="H39"/>
      <c r="I39"/>
      <c r="J39" s="5"/>
    </row>
    <row r="40" spans="2:18" ht="12.75" customHeight="1" x14ac:dyDescent="0.25">
      <c r="B40" s="4"/>
      <c r="C40" s="106" t="s">
        <v>68</v>
      </c>
      <c r="D40" s="108"/>
      <c r="E40" s="96"/>
      <c r="F40" s="96"/>
      <c r="G40" s="96"/>
      <c r="H40" s="97"/>
      <c r="I40" s="107">
        <v>2025</v>
      </c>
      <c r="J40" s="5"/>
    </row>
    <row r="41" spans="2:18" ht="12.75" customHeight="1" x14ac:dyDescent="0.25">
      <c r="B41" s="4"/>
      <c r="C41" s="109"/>
      <c r="D41" s="109"/>
      <c r="E41" s="21"/>
      <c r="F41" s="21"/>
      <c r="G41" s="21"/>
      <c r="H41" s="21"/>
      <c r="I41" s="110"/>
      <c r="J41" s="5"/>
    </row>
    <row r="42" spans="2:18" ht="12.75" customHeight="1" x14ac:dyDescent="0.25">
      <c r="B42" s="4"/>
      <c r="C42" s="106" t="s">
        <v>18</v>
      </c>
      <c r="D42" s="108"/>
      <c r="E42" s="108"/>
      <c r="F42" s="108"/>
      <c r="G42" s="112"/>
      <c r="H42" s="251" t="s">
        <v>65</v>
      </c>
      <c r="I42" s="252"/>
      <c r="J42" s="5"/>
    </row>
    <row r="43" spans="2:18" ht="12.75" customHeight="1" x14ac:dyDescent="0.25">
      <c r="B43" s="4"/>
      <c r="C43" s="111"/>
      <c r="D43" s="109"/>
      <c r="E43" s="21"/>
      <c r="F43" s="21"/>
      <c r="G43" s="21"/>
      <c r="J43" s="5"/>
    </row>
    <row r="44" spans="2:18" ht="12.75" customHeight="1" x14ac:dyDescent="0.25">
      <c r="B44" s="4"/>
      <c r="C44" s="49"/>
      <c r="D44" s="49"/>
      <c r="E44" s="21"/>
      <c r="F44" s="21"/>
      <c r="G44" s="21"/>
      <c r="H44" s="21"/>
      <c r="J44" s="5"/>
    </row>
    <row r="45" spans="2:18" ht="12.75" customHeight="1" x14ac:dyDescent="0.25">
      <c r="B45" s="4"/>
      <c r="C45" s="55"/>
      <c r="D45" s="73"/>
      <c r="E45" s="56"/>
      <c r="J45" s="5"/>
    </row>
    <row r="46" spans="2:18" ht="12.75" customHeight="1" x14ac:dyDescent="0.25">
      <c r="B46" s="4"/>
      <c r="C46" s="58"/>
      <c r="D46" s="74"/>
      <c r="E46" s="59"/>
      <c r="J46" s="5"/>
      <c r="Q46" s="32">
        <f>+IF($I$38&gt;T8,T8,I38)</f>
        <v>50000</v>
      </c>
      <c r="R46" s="32">
        <f>+IF($I$36&gt;T8,T8,I36)</f>
        <v>0</v>
      </c>
    </row>
    <row r="47" spans="2:18" ht="12.75" customHeight="1" thickBot="1" x14ac:dyDescent="0.3">
      <c r="B47" s="4"/>
      <c r="F47" s="63"/>
      <c r="G47" s="63"/>
      <c r="H47" s="202" t="str">
        <f>+IF(AND(OR($I$48="",$I$49=""),$P$6=1),"Eingabe AG-Anteil","")</f>
        <v/>
      </c>
      <c r="I47" s="201" t="str">
        <f>IF(AND(OR($I$48="",$I$49=""),$P$6=1),"ââââ","")</f>
        <v/>
      </c>
      <c r="J47" s="5"/>
      <c r="Q47" s="32">
        <f>+Q46</f>
        <v>50000</v>
      </c>
      <c r="R47" s="32">
        <f>+R46</f>
        <v>0</v>
      </c>
    </row>
    <row r="48" spans="2:18" ht="12.75" customHeight="1" x14ac:dyDescent="0.25">
      <c r="B48" s="4"/>
      <c r="C48" s="15" t="str">
        <f>+IF(P6=1,"AG-Anteil Krankenversicherung / Jahresbeitrag -&gt;","")</f>
        <v/>
      </c>
      <c r="D48" s="65"/>
      <c r="E48" s="65"/>
      <c r="F48" s="65"/>
      <c r="G48" s="65"/>
      <c r="H48" s="90"/>
      <c r="I48" s="220"/>
      <c r="J48" s="5"/>
    </row>
    <row r="49" spans="2:19" ht="12.75" customHeight="1" x14ac:dyDescent="0.25">
      <c r="B49" s="4"/>
      <c r="C49"/>
      <c r="D49"/>
      <c r="E49"/>
      <c r="F49"/>
      <c r="G49"/>
      <c r="H49"/>
      <c r="I49"/>
      <c r="J49" s="5"/>
    </row>
    <row r="50" spans="2:19" ht="12.75" customHeight="1" thickBot="1" x14ac:dyDescent="0.3">
      <c r="B50" s="6"/>
      <c r="C50" s="7"/>
      <c r="D50" s="7"/>
      <c r="E50" s="7"/>
      <c r="F50" s="7"/>
      <c r="G50" s="7"/>
      <c r="H50" s="7"/>
      <c r="I50" s="7"/>
      <c r="J50" s="8"/>
    </row>
    <row r="51" spans="2:19" ht="12.75" customHeight="1" x14ac:dyDescent="0.25"/>
    <row r="52" spans="2:19" ht="12.75" customHeight="1" x14ac:dyDescent="0.25">
      <c r="B52" s="253" t="s">
        <v>93</v>
      </c>
      <c r="C52" s="253"/>
      <c r="D52" s="253"/>
      <c r="E52" s="205" t="s">
        <v>94</v>
      </c>
    </row>
    <row r="53" spans="2:19" ht="12.75" customHeight="1" x14ac:dyDescent="0.25"/>
    <row r="54" spans="2:19" ht="12.75" customHeight="1" x14ac:dyDescent="0.25"/>
    <row r="55" spans="2:19" ht="12.75" customHeight="1" x14ac:dyDescent="0.25">
      <c r="B55" s="9" t="s">
        <v>119</v>
      </c>
    </row>
    <row r="56" spans="2:19" ht="12.75" customHeight="1" x14ac:dyDescent="0.25">
      <c r="B56" s="9" t="s">
        <v>78</v>
      </c>
    </row>
    <row r="57" spans="2:19" ht="12.75" customHeight="1" x14ac:dyDescent="0.25">
      <c r="B57" s="9" t="s">
        <v>79</v>
      </c>
    </row>
    <row r="58" spans="2:19" ht="12.75" customHeight="1" x14ac:dyDescent="0.25"/>
    <row r="59" spans="2:19" ht="12.75" customHeight="1" x14ac:dyDescent="0.25"/>
    <row r="60" spans="2:19" ht="12.75" customHeight="1" x14ac:dyDescent="0.25">
      <c r="S60" s="3">
        <v>1</v>
      </c>
    </row>
    <row r="61" spans="2:19" ht="12.75" customHeight="1" x14ac:dyDescent="0.25"/>
    <row r="62" spans="2:19" ht="12.75" customHeight="1" x14ac:dyDescent="0.25"/>
    <row r="63" spans="2:19" ht="12.75" customHeight="1" x14ac:dyDescent="0.25"/>
    <row r="64" spans="2:19"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sheetData>
  <sheetProtection sheet="1" objects="1" scenarios="1"/>
  <mergeCells count="5">
    <mergeCell ref="H7:I7"/>
    <mergeCell ref="B3:J3"/>
    <mergeCell ref="B52:D52"/>
    <mergeCell ref="H42:I42"/>
    <mergeCell ref="H9:I9"/>
  </mergeCells>
  <phoneticPr fontId="5" type="noConversion"/>
  <conditionalFormatting sqref="H32:H33">
    <cfRule type="expression" dxfId="1" priority="1" stopIfTrue="1">
      <formula>$Q$26=0</formula>
    </cfRule>
  </conditionalFormatting>
  <conditionalFormatting sqref="C48:I48">
    <cfRule type="expression" dxfId="0" priority="2" stopIfTrue="1">
      <formula>$P$15=2</formula>
    </cfRule>
  </conditionalFormatting>
  <dataValidations count="20">
    <dataValidation type="list" allowBlank="1" showInputMessage="1" showErrorMessage="1" sqref="H42:I42" xr:uid="{A2FE369A-07B0-490C-871F-23FC266FE1F8}">
      <formula1>"Neue Bundesländer,Alte Bundesländer"</formula1>
    </dataValidation>
    <dataValidation type="whole" allowBlank="1" showErrorMessage="1" errorTitle="AG-Anteile eingeben" error="Hier bitte nur die Arbeitgeberanteile für Kranken- bzw. Pflegeversicherung in Euro (zwischen 0 und 50.000 Euro) ohne Nachkommastellen eingeben." sqref="I48" xr:uid="{A4C9DCC7-01C6-459E-9DF4-850046F69F37}">
      <formula1>0</formula1>
      <formula2>50000</formula2>
    </dataValidation>
    <dataValidation type="whole" allowBlank="1" showErrorMessage="1" errorTitle="Entfernung Wohnung/Arbeit" error="Hier bitte die Entfernungskilometer zwischen Wohnung und Arbeit (ganze Zahl) zwischen 0 und 500 eingeben." sqref="H29" xr:uid="{B7D111B6-ECE5-46D4-BD95-03635042FBD9}">
      <formula1>0</formula1>
      <formula2>500</formula2>
    </dataValidation>
    <dataValidation type="whole" allowBlank="1" showErrorMessage="1" errorTitle="Entfernung Haushalt/Arbeit" error="Hier bitte die Entfernungskilometer zwischen doppelterm Haushalt und Arbeit (ganze Zahl) zwischen 0 und 2.500 eingeben." sqref="H33" xr:uid="{F2D20F20-B37F-46AA-A8A2-D4912B7ED229}">
      <formula1>0</formula1>
      <formula2>500</formula2>
    </dataValidation>
    <dataValidation type="whole" allowBlank="1" showErrorMessage="1" errorTitle="Anzahl Heimfahrten" error="Hier bitte die Anzahl der Familienheimfahrten eingeben." sqref="H32" xr:uid="{FFA44E01-291A-412D-BAC1-D0D20FC2C85E}">
      <formula1>0</formula1>
      <formula2>100</formula2>
    </dataValidation>
    <dataValidation type="whole" allowBlank="1" showErrorMessage="1" errorTitle="Kilometerleistung" error="Hier bitte die Laufleistung des PKWs in Kilometer pro Jahr (zwischen 1 und 150.000) eingeben." sqref="H17" xr:uid="{CD184AB0-F8B4-42DC-873B-9D971B3BAEE2}">
      <formula1>1</formula1>
      <formula2>150000</formula2>
    </dataValidation>
    <dataValidation type="decimal" allowBlank="1" showErrorMessage="1" errorTitle="Verbrauch eingeben" error="Hier bitte den Verbrauch in Litern je 100 Kilometer (zwischen 1 und 25) eingeben." sqref="H18" xr:uid="{EB94876E-DC77-445A-A49F-C5B935B78ADB}">
      <formula1>0.5</formula1>
      <formula2>25</formula2>
    </dataValidation>
    <dataValidation type="decimal" allowBlank="1" showErrorMessage="1" errorTitle="Treibstoffpreis" error="Hier bitte den angenommenen Preis für ein Liter Treibstoff (Diesel oder Benzin) zwischen 0,50 und 5,00 Euro eingeben." sqref="H19" xr:uid="{42BF675A-163C-4756-A8D1-F46051867E04}">
      <formula1>0.25</formula1>
      <formula2>5</formula2>
    </dataValidation>
    <dataValidation type="decimal" allowBlank="1" showErrorMessage="1" errorTitle="Kfz-Steuer" error="Hier bitte die voraussichtliche Kfz-Steuer (wischen 1 und 5.000) eingeben" sqref="H21" xr:uid="{5CFFC79D-31E1-4D36-9D42-D19DACFA2415}">
      <formula1>1</formula1>
      <formula2>5000</formula2>
    </dataValidation>
    <dataValidation type="decimal" allowBlank="1" showErrorMessage="1" errorTitle="Kfz-Versicherung" error="Hier bitte die voraussichtliche Kfz-Versicherung (wischen 1 und 5.000) eingeben" sqref="H22" xr:uid="{038A3885-C299-40B2-86BC-33C7FC5CF7BD}">
      <formula1>1</formula1>
      <formula2>5000</formula2>
    </dataValidation>
    <dataValidation type="decimal" allowBlank="1" showErrorMessage="1" errorTitle="Inspektion und Reparaturen" error="Hier bitte die voraussichtlichen Inspektions- und Reparaturkosten (wischen 1 und 10.000) eingeben." sqref="H23" xr:uid="{7C078725-275D-4B0B-89F2-14F7A2CEFE9D}">
      <formula1>1</formula1>
      <formula2>10000</formula2>
    </dataValidation>
    <dataValidation type="decimal" allowBlank="1" showErrorMessage="1" errorTitle="Kosten für Verschließ" error="Hier bitte die voraussichtlichen Kosten für Verschleißteile (insb. Reifen) (wischen 1 und 5.000) eingeben" sqref="H24" xr:uid="{D970DD50-25A6-479C-BE06-94BAA30F5AC2}">
      <formula1>1</formula1>
      <formula2>5000</formula2>
    </dataValidation>
    <dataValidation type="decimal" allowBlank="1" showErrorMessage="1" errorTitle="Sonstige Kosten" error="Hier bitte die voraussichtlichen sonstigen Kosten (zwischen 1 und 10.000) eingeben." sqref="H25" xr:uid="{9260EEB3-2961-4413-8F13-1AAD25DBB5BD}">
      <formula1>1</formula1>
      <formula2>10000</formula2>
    </dataValidation>
    <dataValidation type="whole" allowBlank="1" showErrorMessage="1" errorTitle="Bruttoverdienst" error="Hier bitte den Bruttoverdienst (zwischen 0 und 1.000.000 Euro) eines Jahres (evtl. des Vorjahres) ohne Nachkommastellen in Euro eingeben." sqref="I38" xr:uid="{AF296232-84C7-45E5-A37D-9660E2B48B3C}">
      <formula1>0</formula1>
      <formula2>1000000</formula2>
    </dataValidation>
    <dataValidation type="decimal" allowBlank="1" showErrorMessage="1" errorTitle="Sonderausstattung" error="Hier bitte die Sonderausstattung (zwischen o und 25.000 Euro) eingeben, die im Listenverkaufspreis noch nicht berücksichtigt wurde." sqref="H12" xr:uid="{A71668B1-59D3-4533-9530-8E1E642C77A6}">
      <formula1>0</formula1>
      <formula2>25000</formula2>
    </dataValidation>
    <dataValidation type="decimal" allowBlank="1" showErrorMessage="1" errorTitle="Listenverkaufspreis" error="Hier bitte den Listenverkaufspreis inkl. USt (zwischen 5.000 und 500.000 Euro) eingeben." sqref="H11" xr:uid="{C22789F7-0623-4679-9582-76ECEBFCE196}">
      <formula1>5000</formula1>
      <formula2>500000</formula2>
    </dataValidation>
    <dataValidation type="decimal" allowBlank="1" showErrorMessage="1" errorTitle="Leasingrate eingeben" error="Hier bitte die monatliche Leasingrate (zwischen 0 und 10.000 Euro) eingeben." sqref="H15" xr:uid="{7E053E7C-6929-414F-85C8-5CA37279E67F}">
      <formula1>0</formula1>
      <formula2>10000</formula2>
    </dataValidation>
    <dataValidation type="list" showErrorMessage="1" errorTitle="Jahr wählen" error="Bitte wählen Sie aus der Liste ein Jahr, für das der Anlagespiegel erstellt werden soll." sqref="I41" xr:uid="{AB7FC194-0454-47E8-97B2-C19F1C80F0B5}">
      <formula1>"2009,2010"</formula1>
    </dataValidation>
    <dataValidation type="list" allowBlank="1" showInputMessage="1" showErrorMessage="1" sqref="H9:I9" xr:uid="{3D335CED-DC51-43B1-B2F8-3A21C30FEA22}">
      <formula1>$P$29:$P$31</formula1>
    </dataValidation>
    <dataValidation type="list" showErrorMessage="1" errorTitle="Jahr wählen" error="Bitte wählen Sie aus der Liste ein Jahr, für das der Anlagespiegel erstellt werden soll." sqref="I40" xr:uid="{12C3C5F3-F9FE-4868-A33D-64C3DF5FC6B4}">
      <formula1>"2024,2025"</formula1>
    </dataValidation>
  </dataValidations>
  <hyperlinks>
    <hyperlink ref="B52:D52" location="Startseite!Startseite" display="&lt;&lt; Startseite" xr:uid="{00000000-0004-0000-0300-000000000000}"/>
    <hyperlink ref="E52" location="HilfeB3" display="Hilfe?" xr:uid="{00000000-0004-0000-0300-000001000000}"/>
  </hyperlinks>
  <printOptions horizontalCentered="1"/>
  <pageMargins left="0.39370078740157483" right="0.39370078740157483" top="0.59055118110236227" bottom="0.59055118110236227" header="0.51181102362204722" footer="0.51181102362204722"/>
  <pageSetup paperSize="9" scale="82"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66" r:id="rId4" name="Option Button 38">
              <controlPr defaultSize="0" autoFill="0" autoLine="0" autoPict="0">
                <anchor moveWithCells="1">
                  <from>
                    <xdr:col>3</xdr:col>
                    <xdr:colOff>1211580</xdr:colOff>
                    <xdr:row>44</xdr:row>
                    <xdr:rowOff>30480</xdr:rowOff>
                  </from>
                  <to>
                    <xdr:col>4</xdr:col>
                    <xdr:colOff>762000</xdr:colOff>
                    <xdr:row>45</xdr:row>
                    <xdr:rowOff>114300</xdr:rowOff>
                  </to>
                </anchor>
              </controlPr>
            </control>
          </mc:Choice>
        </mc:AlternateContent>
        <mc:AlternateContent xmlns:mc="http://schemas.openxmlformats.org/markup-compatibility/2006">
          <mc:Choice Requires="x14">
            <control shapeId="22567" r:id="rId5" name="Option Button 39">
              <controlPr defaultSize="0" autoFill="0" autoLine="0" autoPict="0">
                <anchor moveWithCells="1">
                  <from>
                    <xdr:col>2</xdr:col>
                    <xdr:colOff>0</xdr:colOff>
                    <xdr:row>44</xdr:row>
                    <xdr:rowOff>0</xdr:rowOff>
                  </from>
                  <to>
                    <xdr:col>3</xdr:col>
                    <xdr:colOff>998220</xdr:colOff>
                    <xdr:row>45</xdr:row>
                    <xdr:rowOff>83820</xdr:rowOff>
                  </to>
                </anchor>
              </controlPr>
            </control>
          </mc:Choice>
        </mc:AlternateContent>
        <mc:AlternateContent xmlns:mc="http://schemas.openxmlformats.org/markup-compatibility/2006">
          <mc:Choice Requires="x14">
            <control shapeId="22568" r:id="rId6" name="Check Box 40">
              <controlPr defaultSize="0" autoFill="0" autoLine="0" autoPict="0">
                <anchor moveWithCells="1">
                  <from>
                    <xdr:col>1</xdr:col>
                    <xdr:colOff>106680</xdr:colOff>
                    <xdr:row>29</xdr:row>
                    <xdr:rowOff>45720</xdr:rowOff>
                  </from>
                  <to>
                    <xdr:col>4</xdr:col>
                    <xdr:colOff>236220</xdr:colOff>
                    <xdr:row>30</xdr:row>
                    <xdr:rowOff>106680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3">
    <pageSetUpPr autoPageBreaks="0"/>
  </sheetPr>
  <dimension ref="A2:IR19"/>
  <sheetViews>
    <sheetView showGridLines="0" showZeros="0" showOutlineSymbols="0" workbookViewId="0">
      <selection activeCell="B3" sqref="B3:F3"/>
    </sheetView>
  </sheetViews>
  <sheetFormatPr baseColWidth="10" defaultColWidth="11.44140625" defaultRowHeight="13.2" x14ac:dyDescent="0.25"/>
  <cols>
    <col min="1" max="1" width="11.44140625" style="3" customWidth="1"/>
    <col min="2" max="3" width="1.5546875" style="3" customWidth="1"/>
    <col min="4" max="4" width="64" style="3" customWidth="1"/>
    <col min="5" max="5" width="1.5546875" style="3" customWidth="1"/>
    <col min="6" max="6" width="1.6640625" style="3" customWidth="1"/>
    <col min="7" max="7" width="2.6640625" style="3" customWidth="1"/>
    <col min="8" max="16384" width="11.44140625" style="3"/>
  </cols>
  <sheetData>
    <row r="2" spans="1:252" ht="13.8" thickBot="1" x14ac:dyDescent="0.3">
      <c r="F2" s="114" t="s">
        <v>90</v>
      </c>
    </row>
    <row r="3" spans="1:252" s="1" customFormat="1" ht="33" customHeight="1" thickBot="1" x14ac:dyDescent="0.3">
      <c r="A3" s="3"/>
      <c r="B3" s="248" t="s">
        <v>72</v>
      </c>
      <c r="C3" s="249"/>
      <c r="D3" s="249"/>
      <c r="E3" s="249"/>
      <c r="F3" s="250"/>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row>
    <row r="4" spans="1:252" x14ac:dyDescent="0.25">
      <c r="B4" s="4"/>
      <c r="F4" s="5"/>
    </row>
    <row r="5" spans="1:252" x14ac:dyDescent="0.25">
      <c r="B5" s="4"/>
      <c r="C5" s="137"/>
      <c r="D5" s="164" t="s">
        <v>1</v>
      </c>
      <c r="E5" s="2"/>
      <c r="F5" s="5"/>
    </row>
    <row r="6" spans="1:252" ht="316.5" customHeight="1" x14ac:dyDescent="0.25">
      <c r="B6" s="4"/>
      <c r="C6" s="168"/>
      <c r="D6" s="174"/>
      <c r="E6" s="167"/>
      <c r="F6" s="5"/>
    </row>
    <row r="7" spans="1:252" ht="13.8" thickBot="1" x14ac:dyDescent="0.3">
      <c r="B7" s="4"/>
      <c r="C7" s="171"/>
      <c r="D7" s="172"/>
      <c r="E7" s="173"/>
      <c r="F7" s="5"/>
    </row>
    <row r="8" spans="1:252" x14ac:dyDescent="0.25">
      <c r="B8" s="4"/>
      <c r="F8" s="5"/>
    </row>
    <row r="9" spans="1:252" x14ac:dyDescent="0.25">
      <c r="B9" s="4"/>
      <c r="C9" s="137"/>
      <c r="D9" s="164" t="s">
        <v>96</v>
      </c>
      <c r="E9" s="2"/>
      <c r="F9" s="5"/>
    </row>
    <row r="10" spans="1:252" x14ac:dyDescent="0.25">
      <c r="B10" s="4"/>
      <c r="C10" s="165"/>
      <c r="D10" s="166"/>
      <c r="E10" s="167"/>
      <c r="F10" s="5"/>
    </row>
    <row r="11" spans="1:252" ht="202.5" customHeight="1" x14ac:dyDescent="0.25">
      <c r="B11" s="4"/>
      <c r="C11" s="168"/>
      <c r="D11" s="169"/>
      <c r="E11" s="170"/>
      <c r="F11" s="5"/>
    </row>
    <row r="12" spans="1:252" ht="13.8" thickBot="1" x14ac:dyDescent="0.3">
      <c r="B12" s="4"/>
      <c r="C12" s="171"/>
      <c r="D12" s="172"/>
      <c r="E12" s="173"/>
      <c r="F12" s="5"/>
    </row>
    <row r="13" spans="1:252" ht="13.8" thickBot="1" x14ac:dyDescent="0.3">
      <c r="B13" s="6"/>
      <c r="C13" s="7"/>
      <c r="D13" s="7"/>
      <c r="E13" s="7"/>
      <c r="F13" s="8"/>
    </row>
    <row r="15" spans="1:252" x14ac:dyDescent="0.25">
      <c r="B15" s="9"/>
      <c r="D15" s="205" t="s">
        <v>73</v>
      </c>
    </row>
    <row r="16" spans="1:252" x14ac:dyDescent="0.25">
      <c r="B16" s="9"/>
    </row>
    <row r="17" spans="2:2" x14ac:dyDescent="0.25">
      <c r="B17" s="9" t="s">
        <v>119</v>
      </c>
    </row>
    <row r="18" spans="2:2" x14ac:dyDescent="0.25">
      <c r="B18" s="9" t="s">
        <v>78</v>
      </c>
    </row>
    <row r="19" spans="2:2" x14ac:dyDescent="0.25">
      <c r="B19" s="9" t="s">
        <v>79</v>
      </c>
    </row>
  </sheetData>
  <sheetProtection sheet="1" objects="1" scenarios="1"/>
  <mergeCells count="1">
    <mergeCell ref="B3:F3"/>
  </mergeCells>
  <phoneticPr fontId="5" type="noConversion"/>
  <hyperlinks>
    <hyperlink ref="D15" location="Startseite!Startseite" display="Startseite" xr:uid="{00000000-0004-0000-0400-000000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4">
    <tabColor indexed="13"/>
    <pageSetUpPr autoPageBreaks="0" fitToPage="1"/>
  </sheetPr>
  <dimension ref="A2:IV34"/>
  <sheetViews>
    <sheetView showGridLines="0" showZeros="0" zoomScaleNormal="100" workbookViewId="0">
      <selection activeCell="E11" sqref="E11"/>
    </sheetView>
  </sheetViews>
  <sheetFormatPr baseColWidth="10" defaultColWidth="11.44140625" defaultRowHeight="13.2" x14ac:dyDescent="0.25"/>
  <cols>
    <col min="1" max="1" width="11.44140625" style="3" customWidth="1"/>
    <col min="2" max="3" width="1.5546875" style="3" customWidth="1"/>
    <col min="4" max="4" width="28.6640625" style="3" customWidth="1"/>
    <col min="5" max="8" width="11.44140625" style="3" customWidth="1"/>
    <col min="9" max="9" width="0" style="3" hidden="1" customWidth="1"/>
    <col min="10" max="10" width="1.5546875" style="3" customWidth="1"/>
    <col min="11" max="11" width="1.6640625" style="3" customWidth="1"/>
    <col min="12" max="12" width="11.44140625" style="3" customWidth="1"/>
    <col min="13" max="13" width="11.44140625" style="3" hidden="1" customWidth="1"/>
    <col min="14" max="14" width="27.44140625" style="3" hidden="1" customWidth="1"/>
    <col min="15" max="19" width="11.44140625" style="3" hidden="1" customWidth="1"/>
    <col min="20" max="21" width="0" style="3" hidden="1" customWidth="1"/>
    <col min="22" max="16384" width="11.44140625" style="3"/>
  </cols>
  <sheetData>
    <row r="2" spans="1:256" ht="13.8" thickBot="1" x14ac:dyDescent="0.3"/>
    <row r="3" spans="1:256" s="1" customFormat="1" ht="25.5" customHeight="1" thickBot="1" x14ac:dyDescent="0.3">
      <c r="A3" s="3"/>
      <c r="B3" s="271" t="str">
        <f>"Rechengrößen "&amp;IF($N$5=P5,$O9,$Q9)</f>
        <v>Rechengrößen 2025</v>
      </c>
      <c r="C3" s="272"/>
      <c r="D3" s="272"/>
      <c r="E3" s="272"/>
      <c r="F3" s="272"/>
      <c r="G3" s="272"/>
      <c r="H3" s="272"/>
      <c r="I3" s="272"/>
      <c r="J3" s="272"/>
      <c r="K3" s="27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row>
    <row r="4" spans="1:256" ht="13.8" thickBot="1" x14ac:dyDescent="0.3">
      <c r="B4" s="4"/>
      <c r="K4" s="5"/>
    </row>
    <row r="5" spans="1:256" ht="13.8" thickBot="1" x14ac:dyDescent="0.3">
      <c r="B5" s="4"/>
      <c r="C5" s="175"/>
      <c r="D5" s="274" t="s">
        <v>2</v>
      </c>
      <c r="E5" s="275"/>
      <c r="F5" s="2"/>
      <c r="G5" s="2"/>
      <c r="H5" s="2"/>
      <c r="I5" s="2"/>
      <c r="J5" s="2"/>
      <c r="K5" s="5"/>
      <c r="N5" s="200">
        <f>Eingaben!I40+0</f>
        <v>0</v>
      </c>
      <c r="P5" s="32">
        <f>+IF(AND(ISNUMBER(N5),N5=2024),N5-0,2024)</f>
        <v>2024</v>
      </c>
      <c r="R5" s="32">
        <f>+IF(AND(ISNUMBER(N5),N5=2025),N5,2025)</f>
        <v>2025</v>
      </c>
    </row>
    <row r="6" spans="1:256" x14ac:dyDescent="0.25">
      <c r="B6" s="4"/>
      <c r="C6" s="177"/>
      <c r="D6" s="174"/>
      <c r="E6" s="174"/>
      <c r="F6" s="180"/>
      <c r="G6" s="180"/>
      <c r="H6" s="180"/>
      <c r="I6" s="76"/>
      <c r="J6" s="181"/>
      <c r="K6" s="5"/>
    </row>
    <row r="7" spans="1:256" x14ac:dyDescent="0.25">
      <c r="B7" s="4"/>
      <c r="C7" s="177"/>
      <c r="D7" s="176" t="s">
        <v>3</v>
      </c>
      <c r="E7" s="142"/>
      <c r="F7" s="174"/>
      <c r="G7" s="174"/>
      <c r="H7" s="174"/>
      <c r="I7" s="174"/>
      <c r="J7" s="179"/>
      <c r="K7" s="5"/>
    </row>
    <row r="8" spans="1:256" ht="13.8" thickBot="1" x14ac:dyDescent="0.3">
      <c r="B8" s="4"/>
      <c r="C8" s="177"/>
      <c r="D8" s="174"/>
      <c r="E8" s="174"/>
      <c r="F8" s="174"/>
      <c r="G8" s="174"/>
      <c r="H8" s="174"/>
      <c r="I8" s="174"/>
      <c r="J8" s="179"/>
      <c r="K8" s="5"/>
    </row>
    <row r="9" spans="1:256" x14ac:dyDescent="0.25">
      <c r="B9" s="4"/>
      <c r="C9" s="177"/>
      <c r="D9" s="279" t="s">
        <v>3</v>
      </c>
      <c r="E9" s="276" t="s">
        <v>0</v>
      </c>
      <c r="F9" s="277"/>
      <c r="G9" s="277" t="s">
        <v>4</v>
      </c>
      <c r="H9" s="278"/>
      <c r="I9" s="75"/>
      <c r="J9" s="179"/>
      <c r="K9" s="5"/>
      <c r="N9" s="269" t="s">
        <v>3</v>
      </c>
      <c r="O9" s="267">
        <f>+P5</f>
        <v>2024</v>
      </c>
      <c r="P9" s="268"/>
      <c r="Q9" s="267">
        <v>2025</v>
      </c>
      <c r="R9" s="268"/>
    </row>
    <row r="10" spans="1:256" ht="13.8" thickBot="1" x14ac:dyDescent="0.3">
      <c r="B10" s="4"/>
      <c r="C10" s="177"/>
      <c r="D10" s="280"/>
      <c r="E10" s="191" t="s">
        <v>5</v>
      </c>
      <c r="F10" s="182" t="s">
        <v>6</v>
      </c>
      <c r="G10" s="182" t="s">
        <v>5</v>
      </c>
      <c r="H10" s="183" t="s">
        <v>6</v>
      </c>
      <c r="I10" s="75"/>
      <c r="J10" s="179"/>
      <c r="K10" s="5"/>
      <c r="N10" s="270"/>
      <c r="O10" s="206" t="s">
        <v>5</v>
      </c>
      <c r="P10" s="207" t="s">
        <v>6</v>
      </c>
      <c r="Q10" s="206" t="s">
        <v>5</v>
      </c>
      <c r="R10" s="207" t="s">
        <v>6</v>
      </c>
    </row>
    <row r="11" spans="1:256" x14ac:dyDescent="0.25">
      <c r="B11" s="4"/>
      <c r="C11" s="177"/>
      <c r="D11" s="192" t="s">
        <v>7</v>
      </c>
      <c r="E11" s="77">
        <f t="shared" ref="E11:E13" si="0">+IF($N$5=$P$5,$O11,$Q11)</f>
        <v>66150</v>
      </c>
      <c r="F11" s="78">
        <f>+IF($N$5=$P$5,$P11,$R11)</f>
        <v>66150</v>
      </c>
      <c r="G11" s="184">
        <f>IF(ISERROR(ROUND(E11/12,2)),"",ROUND(E11/12,2))</f>
        <v>5512.5</v>
      </c>
      <c r="H11" s="185">
        <f>+ROUND(F11/12,2)</f>
        <v>5512.5</v>
      </c>
      <c r="I11" s="75"/>
      <c r="J11" s="179"/>
      <c r="K11" s="5"/>
      <c r="N11" s="30" t="s">
        <v>7</v>
      </c>
      <c r="O11" s="77">
        <v>62100</v>
      </c>
      <c r="P11" s="210">
        <v>62100</v>
      </c>
      <c r="Q11" s="77">
        <v>66150</v>
      </c>
      <c r="R11" s="210">
        <v>66150</v>
      </c>
    </row>
    <row r="12" spans="1:256" x14ac:dyDescent="0.25">
      <c r="B12" s="4"/>
      <c r="C12" s="177"/>
      <c r="D12" s="193" t="s">
        <v>8</v>
      </c>
      <c r="E12" s="79">
        <f t="shared" si="0"/>
        <v>66150</v>
      </c>
      <c r="F12" s="80">
        <f t="shared" ref="F12:F15" si="1">+IF($N$5=$P$5,$P12,$R12)</f>
        <v>66150</v>
      </c>
      <c r="G12" s="186">
        <f>IF(ISERROR(ROUND(E12/12,2)),"",ROUND(E12/12,2))</f>
        <v>5512.5</v>
      </c>
      <c r="H12" s="187">
        <f>+ROUND(F12/12,2)</f>
        <v>5512.5</v>
      </c>
      <c r="I12" s="75"/>
      <c r="J12" s="179"/>
      <c r="K12" s="5"/>
      <c r="N12" s="11" t="s">
        <v>8</v>
      </c>
      <c r="O12" s="79">
        <v>62100</v>
      </c>
      <c r="P12" s="211">
        <v>62100</v>
      </c>
      <c r="Q12" s="79">
        <v>66150</v>
      </c>
      <c r="R12" s="211">
        <v>66150</v>
      </c>
    </row>
    <row r="13" spans="1:256" x14ac:dyDescent="0.25">
      <c r="B13" s="4"/>
      <c r="C13" s="177"/>
      <c r="D13" s="193" t="s">
        <v>9</v>
      </c>
      <c r="E13" s="79">
        <f t="shared" si="0"/>
        <v>96600</v>
      </c>
      <c r="F13" s="80">
        <f t="shared" si="1"/>
        <v>96600</v>
      </c>
      <c r="G13" s="186">
        <f>IF(ISERROR(ROUND(E13/12,2)),"",ROUND(E13/12,2))</f>
        <v>8050</v>
      </c>
      <c r="H13" s="187">
        <f>+ROUND(F13/12,2)</f>
        <v>8050</v>
      </c>
      <c r="I13" s="75"/>
      <c r="J13" s="179"/>
      <c r="K13" s="5"/>
      <c r="N13" s="11" t="s">
        <v>9</v>
      </c>
      <c r="O13" s="79">
        <v>90600</v>
      </c>
      <c r="P13" s="211">
        <v>89400</v>
      </c>
      <c r="Q13" s="79">
        <v>96600</v>
      </c>
      <c r="R13" s="211">
        <v>96600</v>
      </c>
    </row>
    <row r="14" spans="1:256" x14ac:dyDescent="0.25">
      <c r="B14" s="4"/>
      <c r="C14" s="177"/>
      <c r="D14" s="193" t="s">
        <v>10</v>
      </c>
      <c r="E14" s="79">
        <f>+IF($N$5=$P$5,$O14,$Q14)</f>
        <v>96600</v>
      </c>
      <c r="F14" s="80">
        <f t="shared" si="1"/>
        <v>96600</v>
      </c>
      <c r="G14" s="186">
        <f>IF(ISERROR(ROUND(E14/12,2)),"",ROUND(E14/12,2))</f>
        <v>8050</v>
      </c>
      <c r="H14" s="187">
        <f>+ROUND(F14/12,2)</f>
        <v>8050</v>
      </c>
      <c r="I14" s="75"/>
      <c r="J14" s="179"/>
      <c r="K14" s="5"/>
      <c r="N14" s="11" t="s">
        <v>10</v>
      </c>
      <c r="O14" s="79">
        <v>90600</v>
      </c>
      <c r="P14" s="211">
        <v>89400</v>
      </c>
      <c r="Q14" s="79">
        <v>96600</v>
      </c>
      <c r="R14" s="211">
        <v>96600</v>
      </c>
    </row>
    <row r="15" spans="1:256" ht="13.8" thickBot="1" x14ac:dyDescent="0.3">
      <c r="B15" s="4"/>
      <c r="C15" s="177"/>
      <c r="D15" s="194" t="s">
        <v>11</v>
      </c>
      <c r="E15" s="81">
        <f t="shared" ref="E15" si="2">+IF($N$5=$P$5,$O15,$Q15)</f>
        <v>118800</v>
      </c>
      <c r="F15" s="82">
        <f t="shared" si="1"/>
        <v>118800</v>
      </c>
      <c r="G15" s="188">
        <f>IF(ISERROR(ROUND(E15/12,2)),"",ROUND(E15/12,2))</f>
        <v>9900</v>
      </c>
      <c r="H15" s="189">
        <f>+ROUND(F15/12,2)</f>
        <v>9900</v>
      </c>
      <c r="I15" s="75"/>
      <c r="J15" s="179"/>
      <c r="K15" s="5"/>
      <c r="N15" s="38" t="s">
        <v>11</v>
      </c>
      <c r="O15" s="81">
        <v>111600</v>
      </c>
      <c r="P15" s="212">
        <v>110400</v>
      </c>
      <c r="Q15" s="81">
        <v>118800</v>
      </c>
      <c r="R15" s="212">
        <v>118800</v>
      </c>
    </row>
    <row r="16" spans="1:256" x14ac:dyDescent="0.25">
      <c r="B16" s="4"/>
      <c r="C16" s="177"/>
      <c r="D16" s="174"/>
      <c r="E16" s="174"/>
      <c r="F16" s="174"/>
      <c r="G16" s="174"/>
      <c r="H16" s="174"/>
      <c r="I16" s="174"/>
      <c r="J16" s="179"/>
      <c r="K16" s="5"/>
    </row>
    <row r="17" spans="2:17" ht="13.8" thickBot="1" x14ac:dyDescent="0.3">
      <c r="B17" s="4"/>
      <c r="C17" s="177"/>
      <c r="D17" s="176" t="s">
        <v>12</v>
      </c>
      <c r="E17" s="142"/>
      <c r="F17" s="174"/>
      <c r="G17" s="174"/>
      <c r="H17" s="174"/>
      <c r="I17" s="75"/>
      <c r="J17" s="179"/>
      <c r="K17" s="5"/>
    </row>
    <row r="18" spans="2:17" ht="13.8" thickBot="1" x14ac:dyDescent="0.3">
      <c r="B18" s="4"/>
      <c r="C18" s="177"/>
      <c r="D18" s="174"/>
      <c r="E18" s="174"/>
      <c r="F18" s="174"/>
      <c r="G18" s="174"/>
      <c r="H18" s="174"/>
      <c r="I18" s="75"/>
      <c r="J18" s="179"/>
      <c r="K18" s="5"/>
      <c r="O18" s="208">
        <v>2024</v>
      </c>
      <c r="P18" s="209">
        <v>2025</v>
      </c>
    </row>
    <row r="19" spans="2:17" ht="13.8" thickBot="1" x14ac:dyDescent="0.3">
      <c r="B19" s="4"/>
      <c r="C19" s="177"/>
      <c r="D19" s="195" t="s">
        <v>8</v>
      </c>
      <c r="E19" s="86">
        <f>+IF($N$5=P5,$O19,$P19)</f>
        <v>3.5999999999999997E-2</v>
      </c>
      <c r="F19" s="174"/>
      <c r="G19" s="174"/>
      <c r="H19" s="174"/>
      <c r="I19" s="75"/>
      <c r="J19" s="179"/>
      <c r="K19" s="5"/>
      <c r="N19" s="57" t="s">
        <v>8</v>
      </c>
      <c r="O19" s="236">
        <v>3.4000000000000002E-2</v>
      </c>
      <c r="P19" s="230">
        <v>3.5999999999999997E-2</v>
      </c>
      <c r="Q19" s="240">
        <f>0.5*P19</f>
        <v>1.7999999999999999E-2</v>
      </c>
    </row>
    <row r="20" spans="2:17" ht="13.8" thickBot="1" x14ac:dyDescent="0.3">
      <c r="B20" s="4"/>
      <c r="C20" s="177"/>
      <c r="D20" s="196" t="s">
        <v>13</v>
      </c>
      <c r="E20" s="101">
        <f>+IF($N$5=P5,$O20,$P20)</f>
        <v>2.5000000000000001E-2</v>
      </c>
      <c r="F20" s="174"/>
      <c r="G20" s="174"/>
      <c r="H20" s="174"/>
      <c r="I20" s="75"/>
      <c r="J20" s="179"/>
      <c r="K20" s="5"/>
      <c r="N20" s="6" t="s">
        <v>13</v>
      </c>
      <c r="O20" s="236">
        <v>1.7000000000000001E-2</v>
      </c>
      <c r="P20" s="230">
        <v>2.5000000000000001E-2</v>
      </c>
      <c r="Q20" s="240">
        <f>0.5*P20</f>
        <v>1.2500000000000001E-2</v>
      </c>
    </row>
    <row r="21" spans="2:17" ht="13.8" thickBot="1" x14ac:dyDescent="0.3">
      <c r="B21" s="4"/>
      <c r="C21" s="177"/>
      <c r="D21" s="174"/>
      <c r="E21" s="174"/>
      <c r="F21" s="174"/>
      <c r="G21" s="174"/>
      <c r="H21" s="174"/>
      <c r="I21" s="75"/>
      <c r="J21" s="179"/>
      <c r="K21" s="5"/>
    </row>
    <row r="22" spans="2:17" x14ac:dyDescent="0.25">
      <c r="B22" s="4"/>
      <c r="C22" s="177"/>
      <c r="D22" s="197" t="s">
        <v>10</v>
      </c>
      <c r="E22" s="83">
        <f>+IF($N$5=P5,$O22,$P22)</f>
        <v>2.5999999999999999E-2</v>
      </c>
      <c r="F22" s="174"/>
      <c r="G22" s="174"/>
      <c r="H22" s="174"/>
      <c r="I22" s="75"/>
      <c r="J22" s="179"/>
      <c r="K22" s="5"/>
      <c r="N22" s="15" t="s">
        <v>10</v>
      </c>
      <c r="O22" s="237">
        <v>2.5999999999999999E-2</v>
      </c>
      <c r="P22" s="231">
        <v>2.5999999999999999E-2</v>
      </c>
    </row>
    <row r="23" spans="2:17" x14ac:dyDescent="0.25">
      <c r="B23" s="4"/>
      <c r="C23" s="177"/>
      <c r="D23" s="198" t="s">
        <v>9</v>
      </c>
      <c r="E23" s="85">
        <f>+IF($N$5=P5,$O23,$P23)</f>
        <v>0.186</v>
      </c>
      <c r="F23" s="174"/>
      <c r="G23" s="174"/>
      <c r="H23" s="174"/>
      <c r="I23" s="75"/>
      <c r="J23" s="179"/>
      <c r="K23" s="5"/>
      <c r="N23" s="13" t="s">
        <v>9</v>
      </c>
      <c r="O23" s="238">
        <v>0.186</v>
      </c>
      <c r="P23" s="232">
        <v>0.186</v>
      </c>
    </row>
    <row r="24" spans="2:17" ht="13.8" thickBot="1" x14ac:dyDescent="0.3">
      <c r="B24" s="4"/>
      <c r="C24" s="177"/>
      <c r="D24" s="199" t="s">
        <v>11</v>
      </c>
      <c r="E24" s="84">
        <f>+IF($N$5=P5,$O24,$P24)</f>
        <v>0.247</v>
      </c>
      <c r="F24" s="174"/>
      <c r="G24" s="174"/>
      <c r="H24" s="174"/>
      <c r="I24" s="75"/>
      <c r="J24" s="179"/>
      <c r="K24" s="5"/>
      <c r="N24" s="14" t="s">
        <v>11</v>
      </c>
      <c r="O24" s="239">
        <v>0.247</v>
      </c>
      <c r="P24" s="233">
        <v>0.247</v>
      </c>
    </row>
    <row r="25" spans="2:17" ht="13.8" thickBot="1" x14ac:dyDescent="0.3">
      <c r="B25" s="4"/>
      <c r="C25" s="177"/>
      <c r="D25" s="174"/>
      <c r="E25" s="174"/>
      <c r="F25" s="174"/>
      <c r="G25" s="174"/>
      <c r="H25" s="174"/>
      <c r="I25" s="75"/>
      <c r="J25" s="179"/>
      <c r="K25" s="5"/>
    </row>
    <row r="26" spans="2:17" x14ac:dyDescent="0.25">
      <c r="B26" s="4"/>
      <c r="C26" s="177"/>
      <c r="D26" s="197" t="s">
        <v>7</v>
      </c>
      <c r="E26" s="83">
        <f>+IF($N$5=P5,$O26,$P26)</f>
        <v>0.14599999999999999</v>
      </c>
      <c r="F26" s="174"/>
      <c r="G26" s="174"/>
      <c r="H26" s="174"/>
      <c r="I26" s="75"/>
      <c r="J26" s="179"/>
      <c r="K26" s="5"/>
      <c r="N26" s="15" t="s">
        <v>7</v>
      </c>
      <c r="O26" s="237">
        <v>0.14599999999999999</v>
      </c>
      <c r="P26" s="234">
        <v>0.14599999999999999</v>
      </c>
      <c r="Q26" s="240">
        <f>0.5*P26</f>
        <v>7.2999999999999995E-2</v>
      </c>
    </row>
    <row r="27" spans="2:17" ht="13.8" thickBot="1" x14ac:dyDescent="0.3">
      <c r="B27" s="4"/>
      <c r="C27" s="177"/>
      <c r="D27" s="199" t="s">
        <v>117</v>
      </c>
      <c r="E27" s="84">
        <f>+IF($N$5=P5,$O27,$P27)</f>
        <v>2.5000000000000001E-2</v>
      </c>
      <c r="F27" s="174"/>
      <c r="G27" s="174"/>
      <c r="H27" s="174"/>
      <c r="I27" s="75"/>
      <c r="J27" s="179"/>
      <c r="K27" s="5"/>
      <c r="N27" s="14" t="s">
        <v>117</v>
      </c>
      <c r="O27" s="239">
        <v>1.6E-2</v>
      </c>
      <c r="P27" s="235">
        <v>2.5000000000000001E-2</v>
      </c>
      <c r="Q27" s="240">
        <f>0.5*P27</f>
        <v>1.2500000000000001E-2</v>
      </c>
    </row>
    <row r="28" spans="2:17" x14ac:dyDescent="0.25">
      <c r="B28" s="4"/>
      <c r="C28" s="177"/>
      <c r="D28" s="174"/>
      <c r="E28" s="174"/>
      <c r="F28" s="174"/>
      <c r="G28" s="174"/>
      <c r="H28" s="174"/>
      <c r="I28" s="75"/>
      <c r="J28" s="179"/>
      <c r="K28" s="5"/>
    </row>
    <row r="29" spans="2:17" ht="13.8" thickBot="1" x14ac:dyDescent="0.3">
      <c r="B29" s="4"/>
      <c r="C29" s="178"/>
      <c r="D29" s="172"/>
      <c r="E29" s="172"/>
      <c r="F29" s="172"/>
      <c r="G29" s="172"/>
      <c r="H29" s="172"/>
      <c r="I29" s="10"/>
      <c r="J29" s="190"/>
      <c r="K29" s="5"/>
    </row>
    <row r="30" spans="2:17" ht="13.8" thickBot="1" x14ac:dyDescent="0.3">
      <c r="B30" s="6"/>
      <c r="C30" s="7"/>
      <c r="D30" s="7"/>
      <c r="E30" s="7"/>
      <c r="F30" s="7"/>
      <c r="G30" s="7"/>
      <c r="H30" s="7"/>
      <c r="I30" s="7"/>
      <c r="J30" s="7"/>
      <c r="K30" s="8"/>
    </row>
    <row r="31" spans="2:17" ht="13.8" thickBot="1" x14ac:dyDescent="0.3"/>
    <row r="32" spans="2:17" ht="13.8" thickBot="1" x14ac:dyDescent="0.3">
      <c r="B32" s="9" t="s">
        <v>77</v>
      </c>
      <c r="N32" s="122" t="s">
        <v>100</v>
      </c>
      <c r="O32" s="86">
        <v>5.9999999999999995E-4</v>
      </c>
      <c r="P32" s="86">
        <v>5.9999999999999995E-4</v>
      </c>
    </row>
    <row r="33" spans="2:2" x14ac:dyDescent="0.25">
      <c r="B33" s="9" t="s">
        <v>78</v>
      </c>
    </row>
    <row r="34" spans="2:2" x14ac:dyDescent="0.25">
      <c r="B34" s="9" t="s">
        <v>79</v>
      </c>
    </row>
  </sheetData>
  <mergeCells count="8">
    <mergeCell ref="O9:P9"/>
    <mergeCell ref="Q9:R9"/>
    <mergeCell ref="N9:N10"/>
    <mergeCell ref="B3:K3"/>
    <mergeCell ref="D5:E5"/>
    <mergeCell ref="E9:F9"/>
    <mergeCell ref="G9:H9"/>
    <mergeCell ref="D9:D10"/>
  </mergeCells>
  <phoneticPr fontId="5" type="noConversion"/>
  <dataValidations count="3">
    <dataValidation type="decimal" allowBlank="1" showErrorMessage="1" errorTitle="Beitragssätze eingeben" error="Hier bitte die Betragssätze in Prozent (zwischen 0 und 50 Prozent) eingeben." sqref="E26:E27 E19:E20 E22:E24 O26:P27 O19:P20 O22:P24" xr:uid="{00000000-0002-0000-0500-000000000000}">
      <formula1>0</formula1>
      <formula2>0.5</formula2>
    </dataValidation>
    <dataValidation type="decimal" allowBlank="1" showInputMessage="1" showErrorMessage="1" errorTitle="Beitragsbemessungsgrenzen" error="Hier bitte die Beitragsbemessungsgrenzen in Euro (zwischen 0 und 125.000 Euro) eingeben." sqref="E11:F15 O11:R15" xr:uid="{00000000-0002-0000-0500-000001000000}">
      <formula1>0</formula1>
      <formula2>125000</formula2>
    </dataValidation>
    <dataValidation type="decimal" allowBlank="1" showErrorMessage="1" errorTitle="Insolvenzgeldumlage" error="Hier bitte die Insolvenzgeldumlage in Prozent (zwischen 0 und 10 Prozent) eingeben." sqref="O32:P32" xr:uid="{00000000-0002-0000-0500-000002000000}">
      <formula1>0</formula1>
      <formula2>0.1</formula2>
    </dataValidation>
  </dataValidations>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13">
    <tabColor indexed="10"/>
  </sheetPr>
  <dimension ref="B3:F35"/>
  <sheetViews>
    <sheetView showGridLines="0" workbookViewId="0">
      <selection activeCell="B3" sqref="B3:F3"/>
    </sheetView>
  </sheetViews>
  <sheetFormatPr baseColWidth="10" defaultColWidth="11.44140625" defaultRowHeight="13.2" x14ac:dyDescent="0.25"/>
  <cols>
    <col min="1" max="1" width="11.44140625" style="3" customWidth="1"/>
    <col min="2" max="2" width="2.88671875" style="3" bestFit="1" customWidth="1"/>
    <col min="3" max="3" width="18.6640625" style="3" bestFit="1" customWidth="1"/>
    <col min="4" max="4" width="49" style="3" bestFit="1" customWidth="1"/>
    <col min="5" max="5" width="34.33203125" style="3" customWidth="1"/>
    <col min="6" max="6" width="11.33203125" style="3" customWidth="1"/>
    <col min="7" max="16384" width="11.44140625" style="3"/>
  </cols>
  <sheetData>
    <row r="3" spans="2:6" ht="13.8" thickBot="1" x14ac:dyDescent="0.3"/>
    <row r="4" spans="2:6" ht="13.8" thickBot="1" x14ac:dyDescent="0.3">
      <c r="B4" s="129" t="s">
        <v>80</v>
      </c>
      <c r="C4" s="130" t="s">
        <v>75</v>
      </c>
      <c r="D4" s="130" t="s">
        <v>81</v>
      </c>
      <c r="E4" s="131" t="s">
        <v>82</v>
      </c>
      <c r="F4" s="21"/>
    </row>
    <row r="5" spans="2:6" x14ac:dyDescent="0.25">
      <c r="B5" s="31">
        <v>1</v>
      </c>
      <c r="C5" s="32" t="s">
        <v>83</v>
      </c>
      <c r="D5" s="32" t="s">
        <v>98</v>
      </c>
      <c r="E5" s="132" t="s">
        <v>84</v>
      </c>
    </row>
    <row r="6" spans="2:6" x14ac:dyDescent="0.25">
      <c r="B6" s="31">
        <v>2</v>
      </c>
      <c r="C6" s="32" t="s">
        <v>85</v>
      </c>
      <c r="D6" s="32" t="s">
        <v>86</v>
      </c>
      <c r="E6" s="132" t="s">
        <v>87</v>
      </c>
    </row>
    <row r="7" spans="2:6" x14ac:dyDescent="0.25">
      <c r="B7" s="31">
        <v>3</v>
      </c>
      <c r="C7" s="32" t="s">
        <v>88</v>
      </c>
      <c r="D7" s="32" t="s">
        <v>99</v>
      </c>
      <c r="E7" s="132" t="s">
        <v>89</v>
      </c>
    </row>
    <row r="8" spans="2:6" x14ac:dyDescent="0.25">
      <c r="B8" s="31">
        <v>4</v>
      </c>
      <c r="C8" s="32" t="s">
        <v>90</v>
      </c>
      <c r="D8" s="32" t="s">
        <v>91</v>
      </c>
      <c r="E8" s="132" t="s">
        <v>92</v>
      </c>
    </row>
    <row r="9" spans="2:6" x14ac:dyDescent="0.25">
      <c r="B9" s="31"/>
      <c r="C9" s="32"/>
      <c r="D9" s="32"/>
      <c r="E9" s="132"/>
    </row>
    <row r="10" spans="2:6" x14ac:dyDescent="0.25">
      <c r="B10" s="31"/>
      <c r="C10" s="32"/>
      <c r="D10" s="32"/>
      <c r="E10" s="132"/>
    </row>
    <row r="11" spans="2:6" x14ac:dyDescent="0.25">
      <c r="B11" s="31"/>
      <c r="C11" s="32"/>
      <c r="D11" s="32"/>
      <c r="E11" s="132"/>
    </row>
    <row r="12" spans="2:6" x14ac:dyDescent="0.25">
      <c r="B12" s="31"/>
      <c r="C12" s="32"/>
      <c r="D12" s="32"/>
      <c r="E12" s="132"/>
    </row>
    <row r="13" spans="2:6" x14ac:dyDescent="0.25">
      <c r="B13" s="31"/>
      <c r="C13" s="32"/>
      <c r="D13" s="32"/>
      <c r="E13" s="132"/>
    </row>
    <row r="14" spans="2:6" x14ac:dyDescent="0.25">
      <c r="B14" s="31"/>
      <c r="C14" s="32"/>
      <c r="D14" s="32"/>
      <c r="E14" s="132"/>
    </row>
    <row r="15" spans="2:6" x14ac:dyDescent="0.25">
      <c r="B15" s="31"/>
      <c r="C15" s="32"/>
      <c r="D15" s="32"/>
      <c r="E15" s="132"/>
    </row>
    <row r="16" spans="2:6" x14ac:dyDescent="0.25">
      <c r="B16" s="31"/>
      <c r="C16" s="32"/>
      <c r="D16" s="32"/>
      <c r="E16" s="132"/>
    </row>
    <row r="17" spans="2:5" x14ac:dyDescent="0.25">
      <c r="B17" s="31"/>
      <c r="C17" s="32"/>
      <c r="D17" s="32"/>
      <c r="E17" s="132"/>
    </row>
    <row r="18" spans="2:5" x14ac:dyDescent="0.25">
      <c r="B18" s="31"/>
      <c r="C18" s="32"/>
      <c r="D18" s="32"/>
      <c r="E18" s="132"/>
    </row>
    <row r="19" spans="2:5" x14ac:dyDescent="0.25">
      <c r="B19" s="31"/>
      <c r="C19" s="32"/>
      <c r="D19" s="32"/>
      <c r="E19" s="132"/>
    </row>
    <row r="20" spans="2:5" x14ac:dyDescent="0.25">
      <c r="B20" s="31"/>
      <c r="C20" s="32"/>
      <c r="D20" s="32"/>
      <c r="E20" s="132"/>
    </row>
    <row r="21" spans="2:5" x14ac:dyDescent="0.25">
      <c r="B21" s="31"/>
      <c r="C21" s="32"/>
      <c r="D21" s="32"/>
      <c r="E21" s="132"/>
    </row>
    <row r="22" spans="2:5" x14ac:dyDescent="0.25">
      <c r="B22" s="31"/>
      <c r="C22" s="32"/>
      <c r="D22" s="32"/>
      <c r="E22" s="132"/>
    </row>
    <row r="23" spans="2:5" x14ac:dyDescent="0.25">
      <c r="B23" s="31"/>
      <c r="C23" s="32"/>
      <c r="D23" s="32"/>
      <c r="E23" s="132"/>
    </row>
    <row r="24" spans="2:5" x14ac:dyDescent="0.25">
      <c r="B24" s="31"/>
      <c r="C24" s="32"/>
      <c r="D24" s="32"/>
      <c r="E24" s="132"/>
    </row>
    <row r="25" spans="2:5" x14ac:dyDescent="0.25">
      <c r="B25" s="31"/>
      <c r="C25" s="32"/>
      <c r="D25" s="32"/>
      <c r="E25" s="132"/>
    </row>
    <row r="26" spans="2:5" x14ac:dyDescent="0.25">
      <c r="B26" s="31"/>
      <c r="C26" s="32"/>
      <c r="D26" s="32"/>
      <c r="E26" s="132"/>
    </row>
    <row r="27" spans="2:5" x14ac:dyDescent="0.25">
      <c r="B27" s="31"/>
      <c r="C27" s="32"/>
      <c r="D27" s="32"/>
      <c r="E27" s="132"/>
    </row>
    <row r="28" spans="2:5" x14ac:dyDescent="0.25">
      <c r="B28" s="31"/>
      <c r="C28" s="32"/>
      <c r="D28" s="32"/>
      <c r="E28" s="132"/>
    </row>
    <row r="29" spans="2:5" x14ac:dyDescent="0.25">
      <c r="B29" s="31"/>
      <c r="C29" s="32"/>
      <c r="D29" s="32"/>
      <c r="E29" s="132"/>
    </row>
    <row r="30" spans="2:5" ht="13.8" thickBot="1" x14ac:dyDescent="0.3">
      <c r="B30" s="35"/>
      <c r="C30" s="36"/>
      <c r="D30" s="36"/>
      <c r="E30" s="133"/>
    </row>
    <row r="33" spans="2:2" x14ac:dyDescent="0.25">
      <c r="B33" s="9" t="s">
        <v>77</v>
      </c>
    </row>
    <row r="34" spans="2:2" x14ac:dyDescent="0.25">
      <c r="B34" s="9" t="s">
        <v>78</v>
      </c>
    </row>
    <row r="35" spans="2:2" x14ac:dyDescent="0.25">
      <c r="B35" s="9" t="s">
        <v>79</v>
      </c>
    </row>
  </sheetData>
  <phoneticPr fontId="35" type="noConversion"/>
  <pageMargins left="0.78740157499999996" right="0.78740157499999996" top="0.984251969" bottom="0.984251969" header="0.4921259845" footer="0.492125984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2"/>
  <dimension ref="A1:B2"/>
  <sheetViews>
    <sheetView workbookViewId="0"/>
  </sheetViews>
  <sheetFormatPr baseColWidth="10" defaultRowHeight="13.2" x14ac:dyDescent="0.25"/>
  <sheetData>
    <row r="1" spans="1:2" x14ac:dyDescent="0.25">
      <c r="A1" t="s">
        <v>101</v>
      </c>
      <c r="B1" t="s">
        <v>102</v>
      </c>
    </row>
    <row r="2" spans="1:2" x14ac:dyDescent="0.25">
      <c r="A2" t="s">
        <v>103</v>
      </c>
      <c r="B2" t="s">
        <v>104</v>
      </c>
    </row>
  </sheetData>
  <phoneticPr fontId="5" type="noConversion"/>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f5f3c0c8-cb47-4a26-91a1-a44bb4539247" xsi:nil="true"/>
    <lcf76f155ced4ddcb4097134ff3c332f xmlns="bbb3f655-f267-4a84-b742-532fbc77d0a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E9C0657C80C9EB42A8AE8AF1E32C18B5" ma:contentTypeVersion="16" ma:contentTypeDescription="Ein neues Dokument erstellen." ma:contentTypeScope="" ma:versionID="b48c60bcb5f7d428e64c16f8b40588dd">
  <xsd:schema xmlns:xsd="http://www.w3.org/2001/XMLSchema" xmlns:xs="http://www.w3.org/2001/XMLSchema" xmlns:p="http://schemas.microsoft.com/office/2006/metadata/properties" xmlns:ns2="bbb3f655-f267-4a84-b742-532fbc77d0ab" xmlns:ns3="f5f3c0c8-cb47-4a26-91a1-a44bb4539247" targetNamespace="http://schemas.microsoft.com/office/2006/metadata/properties" ma:root="true" ma:fieldsID="dfa5347d09fbae1c92fe6be18fe04650" ns2:_="" ns3:_="">
    <xsd:import namespace="bbb3f655-f267-4a84-b742-532fbc77d0ab"/>
    <xsd:import namespace="f5f3c0c8-cb47-4a26-91a1-a44bb453924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b3f655-f267-4a84-b742-532fbc77d0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0a4a64a0-82bc-48a6-9867-8208b236fb3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f3c0c8-cb47-4a26-91a1-a44bb4539247"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60bcdc34-3acf-42b1-abfa-b6ef944057a8}" ma:internalName="TaxCatchAll" ma:showField="CatchAllData" ma:web="f5f3c0c8-cb47-4a26-91a1-a44bb453924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2EAC791-A3FB-4CF3-801C-CE42D34FAB8E}">
  <ds:schemaRefs>
    <ds:schemaRef ds:uri="http://schemas.microsoft.com/sharepoint/v3/contenttype/forms"/>
  </ds:schemaRefs>
</ds:datastoreItem>
</file>

<file path=customXml/itemProps2.xml><?xml version="1.0" encoding="utf-8"?>
<ds:datastoreItem xmlns:ds="http://schemas.openxmlformats.org/officeDocument/2006/customXml" ds:itemID="{4EA0C09F-2AB0-4829-8926-908880D50F34}">
  <ds:schemaRefs>
    <ds:schemaRef ds:uri="http://schemas.microsoft.com/office/2006/metadata/properties"/>
    <ds:schemaRef ds:uri="http://schemas.microsoft.com/office/infopath/2007/PartnerControls"/>
    <ds:schemaRef ds:uri="f5f3c0c8-cb47-4a26-91a1-a44bb4539247"/>
    <ds:schemaRef ds:uri="bbb3f655-f267-4a84-b742-532fbc77d0ab"/>
  </ds:schemaRefs>
</ds:datastoreItem>
</file>

<file path=customXml/itemProps3.xml><?xml version="1.0" encoding="utf-8"?>
<ds:datastoreItem xmlns:ds="http://schemas.openxmlformats.org/officeDocument/2006/customXml" ds:itemID="{1DCF8BE6-A23F-436D-ABB4-0924EE4D4F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b3f655-f267-4a84-b742-532fbc77d0ab"/>
    <ds:schemaRef ds:uri="f5f3c0c8-cb47-4a26-91a1-a44bb45392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13</vt:i4>
      </vt:variant>
    </vt:vector>
  </HeadingPairs>
  <TitlesOfParts>
    <vt:vector size="20" baseType="lpstr">
      <vt:lpstr>Startseite</vt:lpstr>
      <vt:lpstr>Eingaben</vt:lpstr>
      <vt:lpstr>Berechnung</vt:lpstr>
      <vt:lpstr>Beispiel</vt:lpstr>
      <vt:lpstr>Hilfe</vt:lpstr>
      <vt:lpstr>Rechengrößen</vt:lpstr>
      <vt:lpstr>Parameter_Intern</vt:lpstr>
      <vt:lpstr>BeispielB3</vt:lpstr>
      <vt:lpstr>BerechnungB3</vt:lpstr>
      <vt:lpstr>Beispiel!Druckbereich</vt:lpstr>
      <vt:lpstr>Berechnung!Druckbereich</vt:lpstr>
      <vt:lpstr>Eingaben!Druckbereich</vt:lpstr>
      <vt:lpstr>Hilfe!Druckbereich</vt:lpstr>
      <vt:lpstr>Rechengrößen!Druckbereich</vt:lpstr>
      <vt:lpstr>Startseite!Druckbereich</vt:lpstr>
      <vt:lpstr>EingabenB3</vt:lpstr>
      <vt:lpstr>HilfeB3</vt:lpstr>
      <vt:lpstr>Startseite!StartG10</vt:lpstr>
      <vt:lpstr>Startseite!Startseite</vt:lpstr>
      <vt:lpstr>StartseiteB5</vt:lpstr>
    </vt:vector>
  </TitlesOfParts>
  <Company>VNR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Dienstwagenrechner - Arbeitgeber</dc:title>
  <dc:creator>Michael Konetzny</dc:creator>
  <cp:keywords>Dienstwagenrechner-Arbeitgeber Tools</cp:keywords>
  <cp:lastModifiedBy>Michael Konetzny</cp:lastModifiedBy>
  <cp:lastPrinted>2020-11-24T10:18:48Z</cp:lastPrinted>
  <dcterms:created xsi:type="dcterms:W3CDTF">2009-01-31T13:41:13Z</dcterms:created>
  <dcterms:modified xsi:type="dcterms:W3CDTF">2024-11-10T16:03:46Z</dcterms:modified>
  <cp:category>Tools</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eedsREVERT">
    <vt:lpwstr>FALSE</vt:lpwstr>
  </property>
  <property fmtid="{D5CDD505-2E9C-101B-9397-08002B2CF9AE}" pid="3" name="Jet Reports Drill Button Active">
    <vt:bool>false</vt:bool>
  </property>
  <property fmtid="{D5CDD505-2E9C-101B-9397-08002B2CF9AE}" pid="4" name="OriginalName">
    <vt:lpwstr>Kostenvergleich_PEO.xls</vt:lpwstr>
  </property>
  <property fmtid="{D5CDD505-2E9C-101B-9397-08002B2CF9AE}" pid="5" name="Jet Reports Design Mode Active">
    <vt:bool>true</vt:bool>
  </property>
  <property fmtid="{D5CDD505-2E9C-101B-9397-08002B2CF9AE}" pid="6" name="ContentTypeId">
    <vt:lpwstr>0x010100E9C0657C80C9EB42A8AE8AF1E32C18B5</vt:lpwstr>
  </property>
</Properties>
</file>