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DieseArbeitsmappe" defaultThemeVersion="124226"/>
  <mc:AlternateContent xmlns:mc="http://schemas.openxmlformats.org/markup-compatibility/2006">
    <mc:Choice Requires="x15">
      <x15ac:absPath xmlns:x15ac="http://schemas.microsoft.com/office/spreadsheetml/2010/11/ac" url="https://vnrag.sharepoint.com/sites/mediaforwork2/Freigegebene Dokumente/General/4. Marketing/4.1 Online-Marketing mfw-übergreifend/Excel-Rechner/"/>
    </mc:Choice>
  </mc:AlternateContent>
  <xr:revisionPtr revIDLastSave="0" documentId="13_ncr:1_{CC541270-C933-496E-A734-030E6E8047DB}" xr6:coauthVersionLast="47" xr6:coauthVersionMax="47" xr10:uidLastSave="{00000000-0000-0000-0000-000000000000}"/>
  <bookViews>
    <workbookView minimized="1" xWindow="17280" yWindow="4968" windowWidth="7500" windowHeight="9132" tabRatio="611" activeTab="2" xr2:uid="{00000000-000D-0000-FFFF-FFFF00000000}"/>
  </bookViews>
  <sheets>
    <sheet name="Stammdaten" sheetId="1" r:id="rId1"/>
    <sheet name="Hinweise" sheetId="5" r:id="rId2"/>
    <sheet name="Pauschal-Methode" sheetId="26" r:id="rId3"/>
    <sheet name="Fahrtenbuchmethode" sheetId="27" r:id="rId4"/>
  </sheets>
  <definedNames>
    <definedName name="_xlnm.Print_Area" localSheetId="3">Fahrtenbuchmethode!$B$2:$U$74</definedName>
    <definedName name="_xlnm.Print_Area" localSheetId="1">Hinweise!$B$3:$F$17</definedName>
    <definedName name="_xlnm.Print_Area" localSheetId="2">'Pauschal-Methode'!$B$2:$U$49</definedName>
    <definedName name="_xlnm.Print_Area" localSheetId="0">Stammdaten!$B$3:$H$18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 l="1"/>
  <c r="K8" i="1" s="1"/>
  <c r="K9" i="1" s="1"/>
  <c r="K10" i="1" s="1"/>
  <c r="K11" i="1" s="1"/>
  <c r="K12" i="1" s="1"/>
  <c r="K13" i="1" s="1"/>
  <c r="K14" i="1" s="1"/>
  <c r="K15" i="1" s="1"/>
  <c r="I12" i="26" l="1"/>
  <c r="I11" i="26"/>
  <c r="M9" i="26"/>
  <c r="C39" i="26" l="1"/>
  <c r="L39" i="26"/>
  <c r="I23" i="26"/>
  <c r="I36" i="26"/>
  <c r="M24" i="26"/>
  <c r="T4" i="26"/>
  <c r="G39" i="26"/>
  <c r="I38" i="26"/>
  <c r="P38" i="26"/>
  <c r="I32" i="26"/>
  <c r="B4" i="26"/>
  <c r="L62" i="27"/>
  <c r="P62" i="27"/>
  <c r="S15" i="27"/>
  <c r="I23" i="27" s="1"/>
  <c r="I62" i="27" s="1"/>
  <c r="I61" i="27" s="1"/>
  <c r="M23" i="27"/>
  <c r="S21" i="27"/>
  <c r="S22" i="27"/>
  <c r="M47" i="27" s="1"/>
  <c r="S24" i="27"/>
  <c r="S30" i="27"/>
  <c r="S31" i="27"/>
  <c r="S32" i="27"/>
  <c r="M39" i="27"/>
  <c r="I52" i="27"/>
  <c r="I14" i="27"/>
  <c r="I13" i="27"/>
  <c r="P61" i="27"/>
  <c r="W60" i="27"/>
  <c r="W54" i="27"/>
  <c r="S12" i="27"/>
  <c r="R12" i="27"/>
  <c r="Q12" i="27"/>
  <c r="P12" i="27"/>
  <c r="S11" i="27"/>
  <c r="R11" i="27"/>
  <c r="Q11" i="27"/>
  <c r="P11" i="27"/>
  <c r="S6" i="27"/>
  <c r="R6" i="27"/>
  <c r="Q6" i="27"/>
  <c r="P6" i="27"/>
  <c r="T4" i="27" s="1"/>
  <c r="I15" i="27"/>
  <c r="I12" i="27"/>
  <c r="I11" i="27"/>
  <c r="I9" i="27"/>
  <c r="L9" i="27" s="1"/>
  <c r="I8" i="27"/>
  <c r="C30" i="27"/>
  <c r="B4" i="27"/>
  <c r="C62" i="27"/>
  <c r="G62" i="27"/>
  <c r="S39" i="26" l="1"/>
  <c r="M29" i="26"/>
  <c r="S34" i="27"/>
  <c r="C66" i="27"/>
  <c r="M23" i="26"/>
  <c r="M30" i="26" s="1"/>
  <c r="S23" i="27"/>
  <c r="S26" i="27" s="1"/>
  <c r="S35" i="27" s="1"/>
  <c r="M31" i="26" l="1"/>
  <c r="M33" i="26" s="1"/>
  <c r="M35" i="26" s="1"/>
  <c r="S35" i="26" s="1"/>
  <c r="M47" i="26"/>
  <c r="S47" i="26" s="1"/>
  <c r="M25" i="26"/>
  <c r="S25" i="26" s="1"/>
  <c r="S62" i="27"/>
  <c r="M40" i="27"/>
  <c r="M48" i="27" s="1"/>
  <c r="M49" i="27" s="1"/>
  <c r="P33" i="26" l="1"/>
  <c r="S43" i="26"/>
  <c r="S70" i="27" s="1"/>
  <c r="M41" i="27"/>
  <c r="M50" i="27" s="1"/>
  <c r="M51" i="27" s="1"/>
  <c r="M42" i="27" l="1"/>
  <c r="S43" i="27" s="1"/>
  <c r="M52" i="27"/>
  <c r="P54" i="27" s="1"/>
  <c r="M56" i="27" l="1"/>
  <c r="S56" i="27" s="1"/>
  <c r="S66" i="27" l="1"/>
  <c r="S71" i="27" s="1"/>
  <c r="C73" i="27" l="1"/>
  <c r="S7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Konetzny</author>
  </authors>
  <commentList>
    <comment ref="I8" authorId="0" shapeId="0" xr:uid="{00000000-0006-0000-0200-000001000000}">
      <text>
        <r>
          <rPr>
            <sz val="8"/>
            <color indexed="81"/>
            <rFont val="Tahoma"/>
            <family val="2"/>
          </rPr>
          <t xml:space="preserve">
Hier bitte den aktuellen USt-Satz eingeben.</t>
        </r>
      </text>
    </comment>
    <comment ref="I9" authorId="0" shapeId="0" xr:uid="{00000000-0006-0000-0200-000002000000}">
      <text>
        <r>
          <rPr>
            <sz val="8"/>
            <color indexed="81"/>
            <rFont val="Tahoma"/>
            <family val="2"/>
          </rPr>
          <t xml:space="preserve">
Hier bitte den Satz für die Pauschalversteuerung eingeben.</t>
        </r>
      </text>
    </comment>
    <comment ref="I11" authorId="0" shapeId="0" xr:uid="{00000000-0006-0000-0200-000003000000}">
      <text>
        <r>
          <rPr>
            <sz val="8"/>
            <color indexed="81"/>
            <rFont val="Tahoma"/>
            <family val="2"/>
          </rPr>
          <t xml:space="preserve">
Hier bitte angeben, mit welchen Prozentwert Fahrten zwischen Wohnung und Arbeit angesetzt werden.</t>
        </r>
      </text>
    </comment>
    <comment ref="I12" authorId="0" shapeId="0" xr:uid="{00000000-0006-0000-0200-000004000000}">
      <text>
        <r>
          <rPr>
            <sz val="8"/>
            <color indexed="81"/>
            <rFont val="Tahoma"/>
            <family val="2"/>
          </rPr>
          <t xml:space="preserve">
Hier bitte angeben, mit welchen Prozentwert Fahrten zwischen Wohnung und Arbeit angesetzt werden.</t>
        </r>
      </text>
    </comment>
    <comment ref="I13" authorId="0" shapeId="0" xr:uid="{00000000-0006-0000-0200-000005000000}">
      <text>
        <r>
          <rPr>
            <sz val="8"/>
            <color indexed="81"/>
            <rFont val="Tahoma"/>
            <family val="2"/>
          </rPr>
          <t xml:space="preserve">
Hier bitte die aktuelle Kilometerpauschale (Werbungskosten) eingeben.</t>
        </r>
      </text>
    </comment>
    <comment ref="I14" authorId="0" shapeId="0" xr:uid="{00000000-0006-0000-0200-000006000000}">
      <text>
        <r>
          <rPr>
            <b/>
            <sz val="8"/>
            <color indexed="81"/>
            <rFont val="Tahoma"/>
            <family val="2"/>
          </rPr>
          <t>Michael Konetzny:</t>
        </r>
        <r>
          <rPr>
            <sz val="8"/>
            <color indexed="81"/>
            <rFont val="Tahoma"/>
            <family val="2"/>
          </rPr>
          <t xml:space="preserve">
Hier bitte eingeben, ab wie viel Kilometer beim Ansatz der Kilometerpauschale unberücksichtigt bleiben.</t>
        </r>
      </text>
    </comment>
    <comment ref="I15" authorId="0" shapeId="0" xr:uid="{00000000-0006-0000-0200-000007000000}">
      <text>
        <r>
          <rPr>
            <sz val="8"/>
            <color indexed="81"/>
            <rFont val="Tahoma"/>
            <family val="2"/>
          </rPr>
          <t xml:space="preserve">
Hier bitte die Anzahl der Fahrten für die pauschale Versteuerung eingeben.</t>
        </r>
      </text>
    </comment>
    <comment ref="S15" authorId="0" shapeId="0" xr:uid="{00000000-0006-0000-0200-000008000000}">
      <text>
        <r>
          <rPr>
            <sz val="8"/>
            <color indexed="81"/>
            <rFont val="Tahoma"/>
            <family val="2"/>
          </rPr>
          <t xml:space="preserve">
Hier bitte eingeben, wie viele Monate des Jahres das Fahrzeug als Firmenfahrzeug zur Verfügung stand.</t>
        </r>
      </text>
    </comment>
    <comment ref="I22" authorId="0" shapeId="0" xr:uid="{00000000-0006-0000-0200-000009000000}">
      <text>
        <r>
          <rPr>
            <sz val="8"/>
            <color indexed="81"/>
            <rFont val="Tahoma"/>
            <family val="2"/>
          </rPr>
          <t xml:space="preserve">
Sonderausstattung, die nicht ab Werk fest eingebaut wurde.</t>
        </r>
      </text>
    </comment>
    <comment ref="I24" authorId="0" shapeId="0" xr:uid="{00000000-0006-0000-0200-00000A000000}">
      <text>
        <r>
          <rPr>
            <sz val="8"/>
            <color indexed="81"/>
            <rFont val="Tahoma"/>
            <family val="2"/>
          </rPr>
          <t xml:space="preserve">
Monatliche Zuzahlungen Ihres Mitarbeiters zur Pkw-Nutzung.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Konetzny</author>
  </authors>
  <commentList>
    <comment ref="M21" authorId="0" shapeId="0" xr:uid="{00000000-0006-0000-0300-000001000000}">
      <text>
        <r>
          <rPr>
            <sz val="8"/>
            <color indexed="81"/>
            <rFont val="Tahoma"/>
            <family val="2"/>
          </rPr>
          <t xml:space="preserve">
Hier bitte die privat gefahrenen Kilometer eingeben.</t>
        </r>
      </text>
    </comment>
    <comment ref="I22" authorId="0" shapeId="0" xr:uid="{00000000-0006-0000-0300-000002000000}">
      <text>
        <r>
          <rPr>
            <sz val="8"/>
            <color indexed="81"/>
            <rFont val="Tahoma"/>
            <family val="2"/>
          </rPr>
          <t xml:space="preserve">
Hier bitte die Anzahl Fahrten zwischen Wohnung bzw. Zweitwohnung und Arbeitsstätte eingeben.</t>
        </r>
      </text>
    </comment>
    <comment ref="M22" authorId="0" shapeId="0" xr:uid="{00000000-0006-0000-0300-000003000000}">
      <text>
        <r>
          <rPr>
            <sz val="8"/>
            <color indexed="81"/>
            <rFont val="Tahoma"/>
            <family val="2"/>
          </rPr>
          <t xml:space="preserve">
Hier bitte die Entfernungs-Kilometer zwischen Wohnung bzw. Zweitwohnung und Arbeitsstätte eingeben.</t>
        </r>
      </text>
    </comment>
    <comment ref="I23" authorId="0" shapeId="0" xr:uid="{00000000-0006-0000-0300-000004000000}">
      <text>
        <r>
          <rPr>
            <sz val="8"/>
            <color indexed="81"/>
            <rFont val="Tahoma"/>
            <family val="2"/>
          </rPr>
          <t xml:space="preserve">
Hier bitte die Anzahl der Familienheimfahrten bei doppelter Haushaltsführung (zwischen 0 und 52 Fahrten) eingeben.</t>
        </r>
      </text>
    </comment>
    <comment ref="M23" authorId="0" shapeId="0" xr:uid="{00000000-0006-0000-0300-000005000000}">
      <text>
        <r>
          <rPr>
            <sz val="8"/>
            <color indexed="81"/>
            <rFont val="Tahoma"/>
            <family val="2"/>
          </rPr>
          <t xml:space="preserve">
Hier bitte bei doppelter Haushaltsführung die Entfernung in Kilometer zwischen Hauptwohnung und Arbeitsstätte eingeben.</t>
        </r>
      </text>
    </comment>
    <comment ref="M24" authorId="0" shapeId="0" xr:uid="{00000000-0006-0000-0300-000006000000}">
      <text>
        <r>
          <rPr>
            <sz val="8"/>
            <color indexed="81"/>
            <rFont val="Tahoma"/>
            <family val="2"/>
          </rPr>
          <t xml:space="preserve">
Hier bitte die dienstlich gefahrenen Kilometer eingeben.</t>
        </r>
      </text>
    </comment>
    <comment ref="M30" authorId="0" shapeId="0" xr:uid="{00000000-0006-0000-0300-000007000000}">
      <text>
        <r>
          <rPr>
            <sz val="8"/>
            <color indexed="81"/>
            <rFont val="Tahoma"/>
            <family val="2"/>
          </rPr>
          <t xml:space="preserve">
Hier bitte den gesamten Kfz-Aufwand exklusive Abschreibung eingeben, der in Ihrem Nutzungszeitraum angefallen ist.</t>
        </r>
      </text>
    </comment>
    <comment ref="M31" authorId="0" shapeId="0" xr:uid="{00000000-0006-0000-0300-000008000000}">
      <text>
        <r>
          <rPr>
            <sz val="8"/>
            <color indexed="81"/>
            <rFont val="Tahoma"/>
            <family val="2"/>
          </rPr>
          <t xml:space="preserve">
Hier bitte die Abschreibung eingeben, die für Ihren Nutzungszeitraum gebucht wurde.</t>
        </r>
      </text>
    </comment>
    <comment ref="M32" authorId="0" shapeId="0" xr:uid="{00000000-0006-0000-0300-000009000000}">
      <text>
        <r>
          <rPr>
            <sz val="8"/>
            <color indexed="81"/>
            <rFont val="Tahoma"/>
            <family val="2"/>
          </rPr>
          <t xml:space="preserve">
Hier bitte sonstige Kosten eingeben, die separat aufgeführt werden sollen.</t>
        </r>
      </text>
    </comment>
  </commentList>
</comments>
</file>

<file path=xl/sharedStrings.xml><?xml version="1.0" encoding="utf-8"?>
<sst xmlns="http://schemas.openxmlformats.org/spreadsheetml/2006/main" count="123" uniqueCount="89">
  <si>
    <t>Stammdaten</t>
  </si>
  <si>
    <t>Jahr</t>
  </si>
  <si>
    <t>Vorname</t>
  </si>
  <si>
    <t>Name</t>
  </si>
  <si>
    <t>Firma</t>
  </si>
  <si>
    <t>Allgemeine Hinweise</t>
  </si>
  <si>
    <t>Straße</t>
  </si>
  <si>
    <t>PLZ</t>
  </si>
  <si>
    <t>Ort</t>
  </si>
  <si>
    <t>47111</t>
  </si>
  <si>
    <t>Sonderausstattung</t>
  </si>
  <si>
    <t>abzüglich privater Nutzungsanteil</t>
  </si>
  <si>
    <t>Abzurechnender geldwerter Vorteil</t>
  </si>
  <si>
    <t>Ermittlung des geldwerten Vorteils</t>
  </si>
  <si>
    <t>Fahrten Wohnung Arbeitsstätte</t>
  </si>
  <si>
    <t>pauschal</t>
  </si>
  <si>
    <t>LSt-Karte</t>
  </si>
  <si>
    <t>Programmparameter</t>
  </si>
  <si>
    <t>Pauschalversteuerung mit (in %)</t>
  </si>
  <si>
    <t>Ansatz für Fahrten Wohnung/Arbeit (in %)</t>
  </si>
  <si>
    <t>Kilometerpauschale</t>
  </si>
  <si>
    <t>Steuerpflichtiger geldwerter Vorteil</t>
  </si>
  <si>
    <t>Abzüglich pauschaler Versteuerung?</t>
  </si>
  <si>
    <t>Ja</t>
  </si>
  <si>
    <t>Anzahl Fahrten für pauschale Versteuerung</t>
  </si>
  <si>
    <t>Zurechnung zum Monatslohn</t>
  </si>
  <si>
    <t>Umsatzsteuer</t>
  </si>
  <si>
    <t>USt-Satz</t>
  </si>
  <si>
    <t>Mitarbeiter:</t>
  </si>
  <si>
    <t>Fahrzeugtyp:</t>
  </si>
  <si>
    <t>Kennzeichen:</t>
  </si>
  <si>
    <t>VW Passat</t>
  </si>
  <si>
    <t>WC OW-123</t>
  </si>
  <si>
    <t>Doppelte Haushalsführung</t>
  </si>
  <si>
    <t>abzüglich privatem monatlichen Nutzungsanteil</t>
  </si>
  <si>
    <t>Ermittlung der Fahrleistung</t>
  </si>
  <si>
    <t>Berücksichtigen ab km</t>
  </si>
  <si>
    <t>Fahrten</t>
  </si>
  <si>
    <t>km</t>
  </si>
  <si>
    <t>Privatfahrten</t>
  </si>
  <si>
    <t>Gesamtfahrleistung</t>
  </si>
  <si>
    <t>Euro</t>
  </si>
  <si>
    <t>Abschreibungen</t>
  </si>
  <si>
    <t>Sonstiger Aufwand</t>
  </si>
  <si>
    <t>Gesamtkosten</t>
  </si>
  <si>
    <t>Gesamtkosten je km</t>
  </si>
  <si>
    <t>Abrechnung der Privatfahrten</t>
  </si>
  <si>
    <t>Abrechnung Wohnung / Arbeitsstätte</t>
  </si>
  <si>
    <t>Gefahrene Kilometer</t>
  </si>
  <si>
    <t>Privatfahrten (km)</t>
  </si>
  <si>
    <t>Kosten der Privatfahrten (Euro)</t>
  </si>
  <si>
    <t>Steuerpflichtig (Euro)</t>
  </si>
  <si>
    <t>Im Einsatz befindlich</t>
  </si>
  <si>
    <t>Monate</t>
  </si>
  <si>
    <t>Zwischensumme</t>
  </si>
  <si>
    <t>abzgl. verbleibendem Nutzungsanteil</t>
  </si>
  <si>
    <t>Zurechnung zum Jahreslohn nach der Fahrtenbuchmethode</t>
  </si>
  <si>
    <t>Im Einsatz befindlich:</t>
  </si>
  <si>
    <t>Wohnung/Arbeitsstätte (Entfernungs-km)</t>
  </si>
  <si>
    <t>Dienstlich gefahrene Kilometer</t>
  </si>
  <si>
    <t>Dienstwagenrechner-Arbeitnehmer  -  Stammdaten</t>
  </si>
  <si>
    <t>Dienstwagenrechner Arbeitnehmer</t>
  </si>
  <si>
    <t>Hinweise zum Dienstwagenrechner-Arbeitnehmer</t>
  </si>
  <si>
    <t>abzgl. Fahrten</t>
  </si>
  <si>
    <t>Dienstwagenrechner-Arbeitnehmer - Fahrtenbuchmethode</t>
  </si>
  <si>
    <t>Familienheimfahrten (doppelte Haushaltsf.)</t>
  </si>
  <si>
    <t>Ermittlung der Kfz-Kosten</t>
  </si>
  <si>
    <t>abzügl. Nutzungsentgelt (Euro)</t>
  </si>
  <si>
    <t>Anzahl Fahrten</t>
  </si>
  <si>
    <t>Entfernung Wohnung / Arbeit</t>
  </si>
  <si>
    <t>Bemessungsgrundlage / enthaltene USt</t>
  </si>
  <si>
    <t>Pauschalversteuerung mit</t>
  </si>
  <si>
    <t>Ansatz für Fahrten Wohnung/Arbeit</t>
  </si>
  <si>
    <t>Ansatz für Familienheimfahrten</t>
  </si>
  <si>
    <t>Bruttolistenpreis inkl. USt</t>
  </si>
  <si>
    <t>Korrigierter Bruttolistenpreis inkl. USt</t>
  </si>
  <si>
    <t>Lohnsteuer</t>
  </si>
  <si>
    <t>Max</t>
  </si>
  <si>
    <t>Mustermann</t>
  </si>
  <si>
    <t>Musterfirma GmbH</t>
  </si>
  <si>
    <t>Musterstr. 11</t>
  </si>
  <si>
    <t>Musterstadt</t>
  </si>
  <si>
    <t>Max Mustermann</t>
  </si>
  <si>
    <t>Die Vervielfältigung, Verbreitung oder Veräußerung der Daten oder Texte ist unzulässig und</t>
  </si>
  <si>
    <t>ausdrücklich nur mit Genehmigung des Verlags gestattet.</t>
  </si>
  <si>
    <t>Dienstwagenrechner-Arbeitnehmer - Pauschal-Methode</t>
  </si>
  <si>
    <t>Ansatz für Familienheimfahrten (in %)</t>
  </si>
  <si>
    <t>Zurechnung zum Jahreslohn nach der Pauschalmethode</t>
  </si>
  <si>
    <t>© 2023 by mediaforwork - ein Unternehmensbereich der Verlag für die Deutsche Wirtschaft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</si>
</sst>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8" x14ac:knownFonts="1">
    <font>
      <sz val="10"/>
      <name val="Arial"/>
    </font>
    <font>
      <sz val="10"/>
      <name val="Arial"/>
      <family val="2"/>
    </font>
    <font>
      <b/>
      <sz val="10"/>
      <name val="Arial"/>
      <family val="2"/>
    </font>
    <font>
      <sz val="10"/>
      <name val="Arial"/>
      <family val="2"/>
    </font>
    <font>
      <sz val="9"/>
      <color indexed="8"/>
      <name val="Arial"/>
      <family val="2"/>
    </font>
    <font>
      <b/>
      <sz val="10"/>
      <color indexed="9"/>
      <name val="Arial"/>
      <family val="2"/>
    </font>
    <font>
      <sz val="10"/>
      <color indexed="9"/>
      <name val="Arial"/>
      <family val="2"/>
    </font>
    <font>
      <sz val="10"/>
      <color indexed="8"/>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60"/>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3"/>
      <color indexed="9"/>
      <name val="Arial"/>
      <family val="2"/>
    </font>
    <font>
      <sz val="14"/>
      <color indexed="9"/>
      <name val="Arial"/>
      <family val="2"/>
    </font>
    <font>
      <sz val="10"/>
      <color indexed="9"/>
      <name val="Arial"/>
      <family val="2"/>
    </font>
    <font>
      <sz val="10"/>
      <name val="MS Sans Serif"/>
      <family val="2"/>
    </font>
    <font>
      <b/>
      <sz val="14"/>
      <color indexed="9"/>
      <name val="Arial"/>
      <family val="2"/>
    </font>
    <font>
      <sz val="10"/>
      <color indexed="10"/>
      <name val="Arial"/>
      <family val="2"/>
    </font>
    <font>
      <b/>
      <sz val="10"/>
      <color indexed="10"/>
      <name val="Arial"/>
      <family val="2"/>
    </font>
    <font>
      <sz val="10"/>
      <name val="Arial"/>
      <family val="2"/>
    </font>
    <font>
      <b/>
      <sz val="12"/>
      <color indexed="9"/>
      <name val="Arial"/>
      <family val="2"/>
    </font>
    <font>
      <b/>
      <sz val="10"/>
      <color indexed="9"/>
      <name val="Arial"/>
      <family val="2"/>
    </font>
    <font>
      <sz val="10"/>
      <name val="Arial"/>
      <family val="2"/>
    </font>
    <font>
      <b/>
      <sz val="10"/>
      <name val="Arial"/>
      <family val="2"/>
    </font>
    <font>
      <sz val="10"/>
      <name val="Arial"/>
      <family val="2"/>
    </font>
    <font>
      <sz val="8"/>
      <color indexed="81"/>
      <name val="Tahoma"/>
      <family val="2"/>
    </font>
    <font>
      <b/>
      <sz val="8"/>
      <color indexed="81"/>
      <name val="Tahoma"/>
      <family val="2"/>
    </font>
    <font>
      <b/>
      <sz val="10"/>
      <color indexed="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51"/>
        <bgColor indexed="64"/>
      </patternFill>
    </fill>
    <fill>
      <patternFill patternType="solid">
        <fgColor indexed="9"/>
        <bgColor indexed="64"/>
      </patternFill>
    </fill>
    <fill>
      <patternFill patternType="solid">
        <fgColor indexed="60"/>
        <bgColor indexed="64"/>
      </patternFill>
    </fill>
    <fill>
      <patternFill patternType="solid">
        <fgColor indexed="53"/>
        <bgColor indexed="64"/>
      </patternFill>
    </fill>
    <fill>
      <patternFill patternType="solid">
        <fgColor rgb="FFEAE3C6"/>
        <bgColor indexed="64"/>
      </patternFill>
    </fill>
  </fills>
  <borders count="3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8" fillId="20" borderId="1" applyNumberFormat="0" applyAlignment="0" applyProtection="0"/>
    <xf numFmtId="0" fontId="9" fillId="20" borderId="2" applyNumberFormat="0" applyAlignment="0" applyProtection="0"/>
    <xf numFmtId="0" fontId="10" fillId="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21" borderId="0" applyNumberFormat="0" applyBorder="0" applyAlignment="0" applyProtection="0"/>
    <xf numFmtId="0" fontId="7" fillId="22" borderId="4" applyNumberFormat="0" applyFont="0" applyAlignment="0" applyProtection="0"/>
    <xf numFmtId="9" fontId="1" fillId="0" borderId="0" applyFont="0" applyFill="0" applyBorder="0" applyAlignment="0" applyProtection="0"/>
    <xf numFmtId="0" fontId="15" fillId="3" borderId="0" applyNumberFormat="0" applyBorder="0" applyAlignment="0" applyProtection="0"/>
    <xf numFmtId="0" fontId="25" fillId="0" borderId="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0" borderId="0" applyNumberFormat="0" applyFill="0" applyBorder="0" applyAlignment="0" applyProtection="0"/>
    <xf numFmtId="0" fontId="5" fillId="23" borderId="9" applyNumberFormat="0" applyAlignment="0" applyProtection="0"/>
  </cellStyleXfs>
  <cellXfs count="188">
    <xf numFmtId="0" fontId="0" fillId="0" borderId="0" xfId="0"/>
    <xf numFmtId="0" fontId="0" fillId="24" borderId="10" xfId="0" applyFill="1" applyBorder="1" applyAlignment="1" applyProtection="1">
      <alignment horizontal="left" wrapText="1"/>
      <protection hidden="1"/>
    </xf>
    <xf numFmtId="0" fontId="0" fillId="25" borderId="0" xfId="0" applyFill="1" applyAlignment="1" applyProtection="1">
      <alignment horizontal="left" wrapText="1"/>
      <protection hidden="1"/>
    </xf>
    <xf numFmtId="0" fontId="0" fillId="0" borderId="0" xfId="0" applyProtection="1">
      <protection hidden="1"/>
    </xf>
    <xf numFmtId="0" fontId="0" fillId="0" borderId="11" xfId="0" applyBorder="1" applyProtection="1">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4" fillId="0" borderId="0" xfId="0" applyFont="1" applyProtection="1">
      <protection hidden="1"/>
    </xf>
    <xf numFmtId="0" fontId="2" fillId="0" borderId="0" xfId="0" applyFont="1" applyProtection="1">
      <protection hidden="1"/>
    </xf>
    <xf numFmtId="4" fontId="2" fillId="0" borderId="0" xfId="0" applyNumberFormat="1" applyFont="1" applyProtection="1">
      <protection hidden="1"/>
    </xf>
    <xf numFmtId="0" fontId="27" fillId="0" borderId="0" xfId="0" applyFont="1" applyProtection="1">
      <protection hidden="1"/>
    </xf>
    <xf numFmtId="0" fontId="1" fillId="0" borderId="0" xfId="0" applyFont="1" applyProtection="1">
      <protection hidden="1"/>
    </xf>
    <xf numFmtId="4" fontId="1" fillId="0" borderId="0" xfId="0" applyNumberFormat="1" applyFont="1" applyProtection="1">
      <protection hidden="1"/>
    </xf>
    <xf numFmtId="0" fontId="29" fillId="0" borderId="0" xfId="0" applyFont="1" applyProtection="1">
      <protection hidden="1"/>
    </xf>
    <xf numFmtId="0" fontId="29" fillId="0" borderId="11" xfId="0" applyFont="1" applyBorder="1" applyProtection="1">
      <protection hidden="1"/>
    </xf>
    <xf numFmtId="4" fontId="29" fillId="0" borderId="0" xfId="0" applyNumberFormat="1" applyFont="1" applyProtection="1">
      <protection hidden="1"/>
    </xf>
    <xf numFmtId="0" fontId="29" fillId="0" borderId="12" xfId="0" applyFont="1" applyBorder="1" applyProtection="1">
      <protection hidden="1"/>
    </xf>
    <xf numFmtId="0" fontId="31" fillId="0" borderId="0" xfId="0" applyFont="1" applyAlignment="1" applyProtection="1">
      <alignment horizontal="center"/>
      <protection hidden="1"/>
    </xf>
    <xf numFmtId="0" fontId="24" fillId="0" borderId="0" xfId="0" applyFont="1" applyProtection="1">
      <protection hidden="1"/>
    </xf>
    <xf numFmtId="0" fontId="32" fillId="0" borderId="0" xfId="0" applyFont="1" applyProtection="1">
      <protection hidden="1"/>
    </xf>
    <xf numFmtId="0" fontId="32" fillId="0" borderId="17" xfId="0" applyFont="1" applyBorder="1" applyProtection="1">
      <protection hidden="1"/>
    </xf>
    <xf numFmtId="0" fontId="32" fillId="0" borderId="18" xfId="0" applyFont="1" applyBorder="1" applyProtection="1">
      <protection hidden="1"/>
    </xf>
    <xf numFmtId="4" fontId="32" fillId="0" borderId="18" xfId="0" applyNumberFormat="1" applyFont="1" applyBorder="1" applyProtection="1">
      <protection hidden="1"/>
    </xf>
    <xf numFmtId="0" fontId="32" fillId="0" borderId="19" xfId="0" applyFont="1" applyBorder="1" applyProtection="1">
      <protection hidden="1"/>
    </xf>
    <xf numFmtId="0" fontId="32" fillId="0" borderId="12" xfId="0" applyFont="1" applyBorder="1" applyProtection="1">
      <protection hidden="1"/>
    </xf>
    <xf numFmtId="0" fontId="32" fillId="0" borderId="11" xfId="0" applyFont="1" applyBorder="1" applyProtection="1">
      <protection hidden="1"/>
    </xf>
    <xf numFmtId="0" fontId="32" fillId="0" borderId="20" xfId="0" applyFont="1" applyBorder="1" applyProtection="1">
      <protection hidden="1"/>
    </xf>
    <xf numFmtId="9" fontId="32" fillId="0" borderId="21" xfId="33" applyFont="1" applyBorder="1" applyAlignment="1" applyProtection="1">
      <alignment horizontal="center"/>
      <protection hidden="1"/>
    </xf>
    <xf numFmtId="0" fontId="32" fillId="0" borderId="22" xfId="0" applyFont="1" applyBorder="1" applyProtection="1">
      <protection hidden="1"/>
    </xf>
    <xf numFmtId="3" fontId="32" fillId="0" borderId="16" xfId="0" applyNumberFormat="1" applyFont="1" applyBorder="1" applyProtection="1">
      <protection locked="0"/>
    </xf>
    <xf numFmtId="4" fontId="32" fillId="0" borderId="23" xfId="0" applyNumberFormat="1" applyFont="1" applyBorder="1" applyAlignment="1" applyProtection="1">
      <alignment horizontal="center"/>
      <protection hidden="1"/>
    </xf>
    <xf numFmtId="4" fontId="32" fillId="0" borderId="0" xfId="0" applyNumberFormat="1" applyFont="1" applyProtection="1">
      <protection hidden="1"/>
    </xf>
    <xf numFmtId="0" fontId="33" fillId="0" borderId="0" xfId="0" applyFont="1" applyProtection="1">
      <protection hidden="1"/>
    </xf>
    <xf numFmtId="0" fontId="34" fillId="0" borderId="0" xfId="0" applyFont="1" applyProtection="1">
      <protection hidden="1"/>
    </xf>
    <xf numFmtId="0" fontId="34" fillId="0" borderId="20" xfId="0" applyFont="1" applyBorder="1" applyProtection="1">
      <protection hidden="1"/>
    </xf>
    <xf numFmtId="4" fontId="34" fillId="0" borderId="0" xfId="0" applyNumberFormat="1" applyFont="1" applyProtection="1">
      <protection hidden="1"/>
    </xf>
    <xf numFmtId="4" fontId="34" fillId="0" borderId="0" xfId="0" applyNumberFormat="1" applyFont="1" applyAlignment="1" applyProtection="1">
      <alignment horizontal="center"/>
      <protection hidden="1"/>
    </xf>
    <xf numFmtId="0" fontId="34" fillId="0" borderId="22" xfId="0" applyFont="1" applyBorder="1" applyProtection="1">
      <protection hidden="1"/>
    </xf>
    <xf numFmtId="0" fontId="34" fillId="0" borderId="12" xfId="0" applyFont="1" applyBorder="1" applyProtection="1">
      <protection hidden="1"/>
    </xf>
    <xf numFmtId="0" fontId="34" fillId="0" borderId="11" xfId="0" applyFont="1" applyBorder="1" applyProtection="1">
      <protection hidden="1"/>
    </xf>
    <xf numFmtId="4" fontId="34" fillId="0" borderId="16" xfId="0" applyNumberFormat="1" applyFont="1" applyBorder="1" applyProtection="1">
      <protection locked="0"/>
    </xf>
    <xf numFmtId="0" fontId="33" fillId="0" borderId="20" xfId="0" applyFont="1" applyBorder="1" applyProtection="1">
      <protection hidden="1"/>
    </xf>
    <xf numFmtId="4" fontId="33" fillId="0" borderId="0" xfId="0" applyNumberFormat="1" applyFont="1" applyProtection="1">
      <protection hidden="1"/>
    </xf>
    <xf numFmtId="0" fontId="29" fillId="0" borderId="20" xfId="0" applyFont="1" applyBorder="1" applyProtection="1">
      <protection hidden="1"/>
    </xf>
    <xf numFmtId="0" fontId="29" fillId="0" borderId="22" xfId="0" applyFont="1" applyBorder="1" applyProtection="1">
      <protection hidden="1"/>
    </xf>
    <xf numFmtId="0" fontId="34" fillId="0" borderId="24" xfId="0" applyFont="1" applyBorder="1" applyProtection="1">
      <protection hidden="1"/>
    </xf>
    <xf numFmtId="0" fontId="34" fillId="0" borderId="25" xfId="0" applyFont="1" applyBorder="1" applyProtection="1">
      <protection hidden="1"/>
    </xf>
    <xf numFmtId="4" fontId="34" fillId="0" borderId="25" xfId="0" applyNumberFormat="1" applyFont="1" applyBorder="1" applyProtection="1">
      <protection hidden="1"/>
    </xf>
    <xf numFmtId="0" fontId="34" fillId="0" borderId="26" xfId="0" applyFont="1" applyBorder="1" applyProtection="1">
      <protection hidden="1"/>
    </xf>
    <xf numFmtId="4" fontId="34" fillId="0" borderId="18" xfId="0" applyNumberFormat="1" applyFont="1" applyBorder="1" applyProtection="1">
      <protection hidden="1"/>
    </xf>
    <xf numFmtId="0" fontId="34" fillId="0" borderId="19" xfId="0" applyFont="1" applyBorder="1" applyProtection="1">
      <protection hidden="1"/>
    </xf>
    <xf numFmtId="4" fontId="28" fillId="0" borderId="0" xfId="0" applyNumberFormat="1" applyFont="1" applyAlignment="1" applyProtection="1">
      <alignment horizontal="center"/>
      <protection hidden="1"/>
    </xf>
    <xf numFmtId="0" fontId="29" fillId="0" borderId="0" xfId="0" applyFont="1" applyAlignment="1" applyProtection="1">
      <alignment horizontal="right"/>
      <protection hidden="1"/>
    </xf>
    <xf numFmtId="0" fontId="33" fillId="0" borderId="22" xfId="0" applyFont="1" applyBorder="1" applyProtection="1">
      <protection hidden="1"/>
    </xf>
    <xf numFmtId="0" fontId="29" fillId="0" borderId="13" xfId="0" applyFont="1" applyBorder="1" applyProtection="1">
      <protection hidden="1"/>
    </xf>
    <xf numFmtId="0" fontId="29" fillId="0" borderId="14" xfId="0" applyFont="1" applyBorder="1" applyProtection="1">
      <protection hidden="1"/>
    </xf>
    <xf numFmtId="4" fontId="29" fillId="0" borderId="14" xfId="0" applyNumberFormat="1" applyFont="1" applyBorder="1" applyProtection="1">
      <protection hidden="1"/>
    </xf>
    <xf numFmtId="0" fontId="29" fillId="0" borderId="15" xfId="0" applyFont="1" applyBorder="1" applyProtection="1">
      <protection hidden="1"/>
    </xf>
    <xf numFmtId="4" fontId="29" fillId="0" borderId="0" xfId="0" applyNumberFormat="1" applyFont="1" applyAlignment="1" applyProtection="1">
      <alignment horizontal="center"/>
      <protection hidden="1"/>
    </xf>
    <xf numFmtId="4" fontId="32" fillId="0" borderId="17" xfId="0" applyNumberFormat="1" applyFont="1" applyBorder="1" applyProtection="1">
      <protection hidden="1"/>
    </xf>
    <xf numFmtId="4" fontId="32" fillId="0" borderId="20" xfId="0" applyNumberFormat="1" applyFont="1" applyBorder="1" applyProtection="1">
      <protection hidden="1"/>
    </xf>
    <xf numFmtId="4" fontId="34" fillId="0" borderId="20" xfId="0" applyNumberFormat="1" applyFont="1" applyBorder="1" applyProtection="1">
      <protection hidden="1"/>
    </xf>
    <xf numFmtId="3" fontId="33" fillId="0" borderId="0" xfId="0" applyNumberFormat="1" applyFont="1" applyAlignment="1" applyProtection="1">
      <alignment horizontal="center"/>
      <protection hidden="1"/>
    </xf>
    <xf numFmtId="4" fontId="33" fillId="0" borderId="20" xfId="0" applyNumberFormat="1" applyFont="1" applyBorder="1" applyProtection="1">
      <protection hidden="1"/>
    </xf>
    <xf numFmtId="4" fontId="29" fillId="0" borderId="20" xfId="0" applyNumberFormat="1" applyFont="1" applyBorder="1" applyProtection="1">
      <protection hidden="1"/>
    </xf>
    <xf numFmtId="4" fontId="34" fillId="0" borderId="24" xfId="0" applyNumberFormat="1" applyFont="1" applyBorder="1" applyProtection="1">
      <protection hidden="1"/>
    </xf>
    <xf numFmtId="4" fontId="34" fillId="0" borderId="17" xfId="0" applyNumberFormat="1" applyFont="1" applyBorder="1" applyProtection="1">
      <protection hidden="1"/>
    </xf>
    <xf numFmtId="0" fontId="33" fillId="0" borderId="16" xfId="0" applyFont="1" applyBorder="1" applyAlignment="1" applyProtection="1">
      <alignment horizontal="center"/>
      <protection locked="0"/>
    </xf>
    <xf numFmtId="0" fontId="29" fillId="0" borderId="0" xfId="0" applyFont="1" applyAlignment="1" applyProtection="1">
      <alignment horizontal="center"/>
      <protection locked="0"/>
    </xf>
    <xf numFmtId="3" fontId="29" fillId="0" borderId="16" xfId="0" applyNumberFormat="1" applyFont="1" applyBorder="1" applyAlignment="1" applyProtection="1">
      <alignment horizontal="center"/>
      <protection locked="0"/>
    </xf>
    <xf numFmtId="0" fontId="1" fillId="0" borderId="11" xfId="0" applyFont="1" applyBorder="1" applyProtection="1">
      <protection hidden="1"/>
    </xf>
    <xf numFmtId="0" fontId="1" fillId="0" borderId="12" xfId="0" applyFont="1" applyBorder="1" applyProtection="1">
      <protection hidden="1"/>
    </xf>
    <xf numFmtId="4" fontId="1" fillId="0" borderId="0" xfId="0" applyNumberFormat="1" applyFont="1" applyAlignment="1" applyProtection="1">
      <alignment horizontal="center"/>
      <protection hidden="1"/>
    </xf>
    <xf numFmtId="0" fontId="1" fillId="0" borderId="17" xfId="0" applyFont="1" applyBorder="1" applyProtection="1">
      <protection hidden="1"/>
    </xf>
    <xf numFmtId="0" fontId="1" fillId="0" borderId="18" xfId="0" applyFont="1" applyBorder="1" applyProtection="1">
      <protection hidden="1"/>
    </xf>
    <xf numFmtId="4" fontId="1" fillId="0" borderId="18" xfId="0" applyNumberFormat="1" applyFont="1" applyBorder="1" applyProtection="1">
      <protection hidden="1"/>
    </xf>
    <xf numFmtId="4" fontId="1" fillId="0" borderId="17" xfId="0" applyNumberFormat="1"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9" fontId="1" fillId="0" borderId="21" xfId="33" applyFont="1" applyBorder="1" applyAlignment="1" applyProtection="1">
      <alignment horizontal="center"/>
      <protection hidden="1"/>
    </xf>
    <xf numFmtId="4" fontId="1" fillId="0" borderId="20" xfId="0" applyNumberFormat="1" applyFont="1" applyBorder="1" applyProtection="1">
      <protection hidden="1"/>
    </xf>
    <xf numFmtId="0" fontId="1" fillId="0" borderId="22" xfId="0" applyFont="1" applyBorder="1" applyProtection="1">
      <protection hidden="1"/>
    </xf>
    <xf numFmtId="4" fontId="1" fillId="0" borderId="23" xfId="0" applyNumberFormat="1" applyFont="1" applyBorder="1" applyAlignment="1" applyProtection="1">
      <alignment horizontal="center"/>
      <protection hidden="1"/>
    </xf>
    <xf numFmtId="0" fontId="1" fillId="0" borderId="24" xfId="0" applyFont="1" applyBorder="1" applyProtection="1">
      <protection hidden="1"/>
    </xf>
    <xf numFmtId="0" fontId="1" fillId="0" borderId="25" xfId="0" applyFont="1" applyBorder="1" applyProtection="1">
      <protection hidden="1"/>
    </xf>
    <xf numFmtId="4" fontId="1" fillId="0" borderId="25" xfId="0" applyNumberFormat="1" applyFont="1" applyBorder="1" applyProtection="1">
      <protection hidden="1"/>
    </xf>
    <xf numFmtId="4" fontId="1" fillId="0" borderId="24" xfId="0" applyNumberFormat="1" applyFont="1" applyBorder="1" applyProtection="1">
      <protection hidden="1"/>
    </xf>
    <xf numFmtId="0" fontId="1" fillId="0" borderId="26" xfId="0" applyFont="1" applyBorder="1" applyProtection="1">
      <protection hidden="1"/>
    </xf>
    <xf numFmtId="0" fontId="1" fillId="0" borderId="0" xfId="0" applyFont="1" applyAlignment="1" applyProtection="1">
      <alignment horizontal="right"/>
      <protection hidden="1"/>
    </xf>
    <xf numFmtId="0" fontId="1" fillId="0" borderId="0" xfId="0" applyFont="1" applyAlignment="1" applyProtection="1">
      <alignment horizontal="center"/>
      <protection locked="0"/>
    </xf>
    <xf numFmtId="0" fontId="1" fillId="0" borderId="13" xfId="0" applyFont="1" applyBorder="1" applyProtection="1">
      <protection hidden="1"/>
    </xf>
    <xf numFmtId="0" fontId="1" fillId="0" borderId="14" xfId="0" applyFont="1" applyBorder="1" applyProtection="1">
      <protection hidden="1"/>
    </xf>
    <xf numFmtId="4" fontId="1" fillId="0" borderId="14" xfId="0" applyNumberFormat="1" applyFont="1" applyBorder="1" applyProtection="1">
      <protection hidden="1"/>
    </xf>
    <xf numFmtId="0" fontId="1" fillId="0" borderId="15" xfId="0" applyFont="1" applyBorder="1" applyProtection="1">
      <protection hidden="1"/>
    </xf>
    <xf numFmtId="0" fontId="1" fillId="0" borderId="0" xfId="0" applyFont="1" applyAlignment="1" applyProtection="1">
      <alignment horizontal="center"/>
      <protection hidden="1"/>
    </xf>
    <xf numFmtId="4" fontId="1" fillId="0" borderId="0" xfId="0" applyNumberFormat="1" applyFont="1" applyAlignment="1" applyProtection="1">
      <alignment horizontal="right"/>
      <protection hidden="1"/>
    </xf>
    <xf numFmtId="3" fontId="1" fillId="0" borderId="0" xfId="0" applyNumberFormat="1" applyFont="1" applyProtection="1">
      <protection hidden="1"/>
    </xf>
    <xf numFmtId="3" fontId="29" fillId="0" borderId="16" xfId="0" applyNumberFormat="1" applyFont="1" applyBorder="1" applyAlignment="1" applyProtection="1">
      <alignment horizontal="right"/>
      <protection locked="0"/>
    </xf>
    <xf numFmtId="4" fontId="2" fillId="0" borderId="0" xfId="0" applyNumberFormat="1" applyFont="1" applyAlignment="1" applyProtection="1">
      <alignment horizontal="center"/>
      <protection hidden="1"/>
    </xf>
    <xf numFmtId="0" fontId="37" fillId="0" borderId="0" xfId="0" applyFont="1" applyProtection="1">
      <protection hidden="1"/>
    </xf>
    <xf numFmtId="3" fontId="1" fillId="0" borderId="0" xfId="0" applyNumberFormat="1" applyFont="1" applyAlignment="1" applyProtection="1">
      <alignment horizontal="center"/>
      <protection locked="0"/>
    </xf>
    <xf numFmtId="0" fontId="32" fillId="0" borderId="0" xfId="0" applyFont="1" applyAlignment="1" applyProtection="1">
      <alignment horizontal="center"/>
      <protection hidden="1"/>
    </xf>
    <xf numFmtId="0" fontId="5" fillId="26" borderId="27" xfId="0" applyFont="1" applyFill="1" applyBorder="1" applyAlignment="1" applyProtection="1">
      <alignment horizontal="left"/>
      <protection hidden="1"/>
    </xf>
    <xf numFmtId="0" fontId="2" fillId="27" borderId="17" xfId="0" applyFont="1" applyFill="1" applyBorder="1" applyAlignment="1" applyProtection="1">
      <alignment horizontal="left" wrapText="1"/>
      <protection hidden="1"/>
    </xf>
    <xf numFmtId="0" fontId="2" fillId="27" borderId="18" xfId="0" applyFont="1" applyFill="1" applyBorder="1" applyAlignment="1" applyProtection="1">
      <alignment horizontal="left" wrapText="1"/>
      <protection hidden="1"/>
    </xf>
    <xf numFmtId="0" fontId="2" fillId="27" borderId="28" xfId="0" applyFont="1" applyFill="1" applyBorder="1" applyAlignment="1" applyProtection="1">
      <alignment horizontal="left" wrapText="1"/>
      <protection hidden="1"/>
    </xf>
    <xf numFmtId="0" fontId="2" fillId="27" borderId="20" xfId="0" applyFont="1" applyFill="1" applyBorder="1" applyAlignment="1" applyProtection="1">
      <alignment horizontal="left" wrapText="1"/>
      <protection hidden="1"/>
    </xf>
    <xf numFmtId="0" fontId="2" fillId="27" borderId="0" xfId="0" applyFont="1" applyFill="1" applyAlignment="1" applyProtection="1">
      <alignment horizontal="left" wrapText="1"/>
      <protection hidden="1"/>
    </xf>
    <xf numFmtId="0" fontId="3" fillId="27" borderId="0" xfId="0" applyFont="1" applyFill="1" applyAlignment="1" applyProtection="1">
      <alignment horizontal="left"/>
      <protection hidden="1"/>
    </xf>
    <xf numFmtId="0" fontId="2" fillId="27" borderId="12" xfId="0" applyFont="1" applyFill="1" applyBorder="1" applyAlignment="1" applyProtection="1">
      <alignment horizontal="left" wrapText="1"/>
      <protection hidden="1"/>
    </xf>
    <xf numFmtId="0" fontId="2" fillId="27" borderId="29" xfId="0" applyFont="1" applyFill="1" applyBorder="1" applyAlignment="1" applyProtection="1">
      <alignment horizontal="left" wrapText="1"/>
      <protection hidden="1"/>
    </xf>
    <xf numFmtId="0" fontId="2" fillId="27" borderId="14" xfId="0" applyFont="1" applyFill="1" applyBorder="1" applyAlignment="1" applyProtection="1">
      <alignment horizontal="left" wrapText="1"/>
      <protection hidden="1"/>
    </xf>
    <xf numFmtId="0" fontId="2" fillId="27" borderId="15" xfId="0" applyFont="1" applyFill="1" applyBorder="1" applyAlignment="1" applyProtection="1">
      <alignment horizontal="left" wrapText="1"/>
      <protection hidden="1"/>
    </xf>
    <xf numFmtId="1" fontId="3" fillId="0" borderId="16" xfId="0" applyNumberFormat="1" applyFont="1" applyBorder="1" applyAlignment="1" applyProtection="1">
      <alignment horizontal="left"/>
      <protection locked="0"/>
    </xf>
    <xf numFmtId="49" fontId="3" fillId="0" borderId="27" xfId="0" applyNumberFormat="1" applyFont="1" applyBorder="1" applyAlignment="1" applyProtection="1">
      <alignment horizontal="left"/>
      <protection locked="0"/>
    </xf>
    <xf numFmtId="49" fontId="3" fillId="0" borderId="30" xfId="0" applyNumberFormat="1" applyFont="1" applyBorder="1" applyAlignment="1" applyProtection="1">
      <alignment horizontal="left"/>
      <protection locked="0"/>
    </xf>
    <xf numFmtId="0" fontId="5" fillId="26" borderId="30" xfId="0" applyFont="1" applyFill="1" applyBorder="1" applyAlignment="1" applyProtection="1">
      <alignment horizontal="left" wrapText="1"/>
      <protection hidden="1"/>
    </xf>
    <xf numFmtId="0" fontId="0" fillId="27" borderId="0" xfId="0" applyFill="1" applyProtection="1">
      <protection hidden="1"/>
    </xf>
    <xf numFmtId="0" fontId="30" fillId="26" borderId="31" xfId="0" applyFont="1" applyFill="1" applyBorder="1" applyAlignment="1" applyProtection="1">
      <alignment horizontal="left" vertical="center"/>
      <protection hidden="1"/>
    </xf>
    <xf numFmtId="0" fontId="30" fillId="26" borderId="32" xfId="0" applyFont="1" applyFill="1" applyBorder="1" applyAlignment="1" applyProtection="1">
      <alignment horizontal="left" vertical="center"/>
      <protection hidden="1"/>
    </xf>
    <xf numFmtId="0" fontId="30" fillId="26" borderId="32" xfId="0" applyFont="1" applyFill="1" applyBorder="1" applyAlignment="1" applyProtection="1">
      <alignment horizontal="center" vertical="center"/>
      <protection hidden="1"/>
    </xf>
    <xf numFmtId="0" fontId="31" fillId="26" borderId="32" xfId="0" applyFont="1" applyFill="1" applyBorder="1" applyProtection="1">
      <protection hidden="1"/>
    </xf>
    <xf numFmtId="0" fontId="31" fillId="26" borderId="32" xfId="35" applyFont="1" applyFill="1" applyBorder="1" applyProtection="1">
      <protection hidden="1"/>
    </xf>
    <xf numFmtId="4" fontId="31" fillId="26" borderId="32" xfId="0" applyNumberFormat="1" applyFont="1" applyFill="1" applyBorder="1" applyProtection="1">
      <protection hidden="1"/>
    </xf>
    <xf numFmtId="0" fontId="30" fillId="26" borderId="32" xfId="0" applyFont="1" applyFill="1" applyBorder="1" applyAlignment="1" applyProtection="1">
      <alignment horizontal="right"/>
      <protection hidden="1"/>
    </xf>
    <xf numFmtId="0" fontId="24" fillId="26" borderId="33" xfId="0" applyFont="1" applyFill="1" applyBorder="1" applyProtection="1">
      <protection hidden="1"/>
    </xf>
    <xf numFmtId="0" fontId="31" fillId="26" borderId="0" xfId="0" applyFont="1" applyFill="1" applyAlignment="1" applyProtection="1">
      <alignment horizontal="left"/>
      <protection hidden="1"/>
    </xf>
    <xf numFmtId="0" fontId="31" fillId="26" borderId="0" xfId="0" applyFont="1" applyFill="1" applyAlignment="1" applyProtection="1">
      <alignment horizontal="center"/>
      <protection hidden="1"/>
    </xf>
    <xf numFmtId="0" fontId="29" fillId="26" borderId="0" xfId="0" applyFont="1" applyFill="1" applyProtection="1">
      <protection hidden="1"/>
    </xf>
    <xf numFmtId="4" fontId="29" fillId="26" borderId="0" xfId="0" applyNumberFormat="1" applyFont="1" applyFill="1" applyProtection="1">
      <protection hidden="1"/>
    </xf>
    <xf numFmtId="0" fontId="24" fillId="26" borderId="0" xfId="0" applyFont="1" applyFill="1" applyProtection="1">
      <protection hidden="1"/>
    </xf>
    <xf numFmtId="3" fontId="33" fillId="27" borderId="16" xfId="0" applyNumberFormat="1" applyFont="1" applyFill="1" applyBorder="1" applyProtection="1">
      <protection hidden="1"/>
    </xf>
    <xf numFmtId="4" fontId="34" fillId="27" borderId="16" xfId="0" applyNumberFormat="1" applyFont="1" applyFill="1" applyBorder="1" applyProtection="1">
      <protection hidden="1"/>
    </xf>
    <xf numFmtId="4" fontId="33" fillId="27" borderId="16" xfId="0" applyNumberFormat="1" applyFont="1" applyFill="1" applyBorder="1" applyProtection="1">
      <protection hidden="1"/>
    </xf>
    <xf numFmtId="4" fontId="29" fillId="27" borderId="16" xfId="0" applyNumberFormat="1" applyFont="1" applyFill="1" applyBorder="1" applyProtection="1">
      <protection hidden="1"/>
    </xf>
    <xf numFmtId="4" fontId="2" fillId="27" borderId="16" xfId="0" applyNumberFormat="1" applyFont="1" applyFill="1" applyBorder="1" applyProtection="1">
      <protection hidden="1"/>
    </xf>
    <xf numFmtId="0" fontId="1" fillId="26" borderId="0" xfId="0" applyFont="1" applyFill="1" applyProtection="1">
      <protection hidden="1"/>
    </xf>
    <xf numFmtId="4" fontId="1" fillId="26" borderId="0" xfId="0" applyNumberFormat="1" applyFont="1" applyFill="1" applyProtection="1">
      <protection hidden="1"/>
    </xf>
    <xf numFmtId="3" fontId="29" fillId="27" borderId="16" xfId="0" applyNumberFormat="1" applyFont="1" applyFill="1" applyBorder="1" applyAlignment="1" applyProtection="1">
      <alignment horizontal="center"/>
      <protection hidden="1"/>
    </xf>
    <xf numFmtId="10" fontId="1" fillId="27" borderId="16" xfId="33" applyNumberFormat="1" applyFont="1" applyFill="1" applyBorder="1" applyAlignment="1" applyProtection="1">
      <alignment horizontal="center"/>
      <protection hidden="1"/>
    </xf>
    <xf numFmtId="164" fontId="1" fillId="27" borderId="16" xfId="33" applyNumberFormat="1" applyFont="1" applyFill="1" applyBorder="1" applyAlignment="1" applyProtection="1">
      <alignment horizontal="center"/>
      <protection hidden="1"/>
    </xf>
    <xf numFmtId="4" fontId="1" fillId="27" borderId="16" xfId="0" applyNumberFormat="1" applyFont="1" applyFill="1" applyBorder="1" applyAlignment="1" applyProtection="1">
      <alignment horizontal="center"/>
      <protection hidden="1"/>
    </xf>
    <xf numFmtId="3" fontId="1" fillId="27" borderId="16" xfId="0" applyNumberFormat="1" applyFont="1" applyFill="1" applyBorder="1" applyAlignment="1" applyProtection="1">
      <alignment horizontal="center"/>
      <protection hidden="1"/>
    </xf>
    <xf numFmtId="3" fontId="29" fillId="27" borderId="16" xfId="0" applyNumberFormat="1" applyFont="1" applyFill="1" applyBorder="1" applyAlignment="1" applyProtection="1">
      <alignment horizontal="right"/>
      <protection hidden="1"/>
    </xf>
    <xf numFmtId="3" fontId="1" fillId="27" borderId="16" xfId="0" applyNumberFormat="1" applyFont="1" applyFill="1" applyBorder="1" applyAlignment="1" applyProtection="1">
      <alignment horizontal="right"/>
      <protection hidden="1"/>
    </xf>
    <xf numFmtId="3" fontId="2" fillId="27" borderId="16" xfId="0" applyNumberFormat="1" applyFont="1" applyFill="1" applyBorder="1" applyAlignment="1" applyProtection="1">
      <alignment horizontal="right"/>
      <protection hidden="1"/>
    </xf>
    <xf numFmtId="4" fontId="29" fillId="27" borderId="16" xfId="0" applyNumberFormat="1" applyFont="1" applyFill="1" applyBorder="1" applyAlignment="1" applyProtection="1">
      <alignment horizontal="right"/>
      <protection hidden="1"/>
    </xf>
    <xf numFmtId="4" fontId="2" fillId="27" borderId="16" xfId="0" applyNumberFormat="1" applyFont="1" applyFill="1" applyBorder="1" applyAlignment="1" applyProtection="1">
      <alignment horizontal="right"/>
      <protection hidden="1"/>
    </xf>
    <xf numFmtId="3" fontId="1" fillId="27" borderId="16" xfId="0" applyNumberFormat="1" applyFont="1" applyFill="1" applyBorder="1" applyProtection="1">
      <protection hidden="1"/>
    </xf>
    <xf numFmtId="4" fontId="1" fillId="27" borderId="16" xfId="0" applyNumberFormat="1" applyFont="1" applyFill="1" applyBorder="1" applyProtection="1">
      <protection hidden="1"/>
    </xf>
    <xf numFmtId="3" fontId="3" fillId="27" borderId="16" xfId="0" applyNumberFormat="1" applyFont="1" applyFill="1" applyBorder="1" applyProtection="1">
      <protection hidden="1"/>
    </xf>
    <xf numFmtId="164" fontId="29" fillId="28" borderId="16" xfId="33" applyNumberFormat="1" applyFont="1" applyFill="1" applyBorder="1" applyAlignment="1" applyProtection="1">
      <alignment horizontal="center"/>
      <protection locked="0"/>
    </xf>
    <xf numFmtId="4" fontId="29" fillId="28" borderId="16" xfId="0" applyNumberFormat="1" applyFont="1" applyFill="1" applyBorder="1" applyAlignment="1" applyProtection="1">
      <alignment horizontal="center"/>
      <protection locked="0"/>
    </xf>
    <xf numFmtId="10" fontId="29" fillId="0" borderId="16" xfId="33" applyNumberFormat="1" applyFont="1" applyFill="1" applyBorder="1" applyAlignment="1" applyProtection="1">
      <alignment horizontal="center"/>
      <protection locked="0"/>
    </xf>
    <xf numFmtId="0" fontId="22" fillId="26" borderId="31" xfId="0" applyFont="1" applyFill="1" applyBorder="1" applyAlignment="1" applyProtection="1">
      <alignment horizontal="center" vertical="center"/>
      <protection hidden="1"/>
    </xf>
    <xf numFmtId="0" fontId="22" fillId="26" borderId="32" xfId="0" applyFont="1" applyFill="1" applyBorder="1" applyAlignment="1" applyProtection="1">
      <alignment horizontal="center" vertical="center"/>
      <protection hidden="1"/>
    </xf>
    <xf numFmtId="0" fontId="22" fillId="26" borderId="33" xfId="0" applyFont="1" applyFill="1" applyBorder="1" applyAlignment="1" applyProtection="1">
      <alignment horizontal="center" vertical="center"/>
      <protection hidden="1"/>
    </xf>
    <xf numFmtId="0" fontId="5" fillId="26" borderId="10" xfId="0" applyFont="1" applyFill="1" applyBorder="1" applyAlignment="1" applyProtection="1">
      <alignment horizontal="center" wrapText="1"/>
      <protection hidden="1"/>
    </xf>
    <xf numFmtId="0" fontId="5" fillId="26" borderId="30" xfId="0" applyFont="1" applyFill="1" applyBorder="1" applyAlignment="1" applyProtection="1">
      <alignment horizontal="center" wrapText="1"/>
      <protection hidden="1"/>
    </xf>
    <xf numFmtId="0" fontId="23" fillId="26" borderId="31" xfId="0" applyFont="1" applyFill="1" applyBorder="1" applyAlignment="1" applyProtection="1">
      <alignment horizontal="center" vertical="center"/>
      <protection hidden="1"/>
    </xf>
    <xf numFmtId="0" fontId="23" fillId="26" borderId="32" xfId="0" applyFont="1" applyFill="1" applyBorder="1" applyAlignment="1" applyProtection="1">
      <alignment horizontal="center" vertical="center"/>
      <protection hidden="1"/>
    </xf>
    <xf numFmtId="0" fontId="23" fillId="26" borderId="33" xfId="0" applyFont="1" applyFill="1" applyBorder="1" applyAlignment="1" applyProtection="1">
      <alignment horizontal="center" vertical="center"/>
      <protection hidden="1"/>
    </xf>
    <xf numFmtId="0" fontId="26" fillId="26" borderId="31" xfId="0" applyFont="1" applyFill="1" applyBorder="1" applyAlignment="1" applyProtection="1">
      <alignment horizontal="center" vertical="center"/>
      <protection hidden="1"/>
    </xf>
    <xf numFmtId="0" fontId="26" fillId="26" borderId="32" xfId="0" applyFont="1" applyFill="1" applyBorder="1" applyAlignment="1" applyProtection="1">
      <alignment horizontal="center" vertical="center"/>
      <protection hidden="1"/>
    </xf>
    <xf numFmtId="0" fontId="26" fillId="26" borderId="33" xfId="0" applyFont="1" applyFill="1" applyBorder="1" applyAlignment="1" applyProtection="1">
      <alignment horizontal="center" vertical="center"/>
      <protection hidden="1"/>
    </xf>
    <xf numFmtId="4" fontId="32" fillId="0" borderId="21" xfId="0" applyNumberFormat="1" applyFont="1" applyBorder="1" applyAlignment="1" applyProtection="1">
      <alignment horizontal="center"/>
      <protection hidden="1"/>
    </xf>
    <xf numFmtId="4" fontId="32" fillId="0" borderId="23" xfId="0" applyNumberFormat="1" applyFont="1" applyBorder="1" applyAlignment="1" applyProtection="1">
      <alignment horizontal="center"/>
      <protection hidden="1"/>
    </xf>
    <xf numFmtId="4" fontId="29" fillId="0" borderId="27" xfId="0" applyNumberFormat="1" applyFont="1" applyBorder="1" applyAlignment="1" applyProtection="1">
      <alignment horizontal="left"/>
      <protection locked="0"/>
    </xf>
    <xf numFmtId="4" fontId="29" fillId="0" borderId="10" xfId="0" applyNumberFormat="1" applyFont="1" applyBorder="1" applyAlignment="1" applyProtection="1">
      <alignment horizontal="left"/>
      <protection locked="0"/>
    </xf>
    <xf numFmtId="4" fontId="29" fillId="0" borderId="30" xfId="0" applyNumberFormat="1" applyFont="1" applyBorder="1" applyAlignment="1" applyProtection="1">
      <alignment horizontal="left"/>
      <protection locked="0"/>
    </xf>
    <xf numFmtId="0" fontId="29" fillId="0" borderId="27" xfId="0" applyFont="1" applyBorder="1" applyAlignment="1" applyProtection="1">
      <alignment horizontal="left"/>
      <protection locked="0"/>
    </xf>
    <xf numFmtId="0" fontId="29" fillId="0" borderId="10" xfId="0" applyFont="1" applyBorder="1" applyAlignment="1" applyProtection="1">
      <alignment horizontal="left"/>
      <protection locked="0"/>
    </xf>
    <xf numFmtId="0" fontId="29" fillId="0" borderId="30" xfId="0" applyFont="1" applyBorder="1" applyAlignment="1" applyProtection="1">
      <alignment horizontal="left"/>
      <protection locked="0"/>
    </xf>
    <xf numFmtId="4" fontId="34" fillId="27" borderId="27" xfId="0" applyNumberFormat="1" applyFont="1" applyFill="1" applyBorder="1" applyAlignment="1" applyProtection="1">
      <alignment horizontal="left"/>
      <protection hidden="1"/>
    </xf>
    <xf numFmtId="4" fontId="34" fillId="27" borderId="10" xfId="0" applyNumberFormat="1" applyFont="1" applyFill="1" applyBorder="1" applyAlignment="1" applyProtection="1">
      <alignment horizontal="left"/>
      <protection hidden="1"/>
    </xf>
    <xf numFmtId="4" fontId="34" fillId="27" borderId="30" xfId="0" applyNumberFormat="1" applyFont="1" applyFill="1" applyBorder="1" applyAlignment="1" applyProtection="1">
      <alignment horizontal="left"/>
      <protection hidden="1"/>
    </xf>
    <xf numFmtId="4" fontId="1" fillId="0" borderId="21" xfId="0" applyNumberFormat="1" applyFont="1" applyBorder="1" applyAlignment="1" applyProtection="1">
      <alignment horizontal="center"/>
      <protection hidden="1"/>
    </xf>
    <xf numFmtId="4" fontId="1" fillId="0" borderId="23" xfId="0" applyNumberFormat="1" applyFont="1" applyBorder="1" applyAlignment="1" applyProtection="1">
      <alignment horizontal="center"/>
      <protection hidden="1"/>
    </xf>
    <xf numFmtId="4" fontId="1" fillId="27" borderId="27" xfId="0" applyNumberFormat="1" applyFont="1" applyFill="1" applyBorder="1" applyAlignment="1" applyProtection="1">
      <alignment horizontal="left"/>
      <protection hidden="1"/>
    </xf>
    <xf numFmtId="4" fontId="1" fillId="27" borderId="10" xfId="0" applyNumberFormat="1" applyFont="1" applyFill="1" applyBorder="1" applyAlignment="1" applyProtection="1">
      <alignment horizontal="left"/>
      <protection hidden="1"/>
    </xf>
    <xf numFmtId="4" fontId="1" fillId="27" borderId="30" xfId="0" applyNumberFormat="1" applyFont="1" applyFill="1" applyBorder="1" applyAlignment="1" applyProtection="1">
      <alignment horizontal="left"/>
      <protection hidden="1"/>
    </xf>
    <xf numFmtId="0" fontId="1" fillId="27" borderId="27" xfId="0" applyFont="1" applyFill="1" applyBorder="1" applyAlignment="1" applyProtection="1">
      <alignment horizontal="left"/>
      <protection hidden="1"/>
    </xf>
    <xf numFmtId="0" fontId="1" fillId="27" borderId="10" xfId="0" applyFont="1" applyFill="1" applyBorder="1" applyAlignment="1" applyProtection="1">
      <alignment horizontal="left"/>
      <protection hidden="1"/>
    </xf>
    <xf numFmtId="0" fontId="1" fillId="27" borderId="30" xfId="0" applyFont="1" applyFill="1" applyBorder="1" applyAlignment="1" applyProtection="1">
      <alignment horizontal="left"/>
      <protection hidden="1"/>
    </xf>
    <xf numFmtId="4" fontId="34" fillId="27" borderId="0" xfId="0" applyNumberFormat="1" applyFont="1" applyFill="1" applyAlignment="1" applyProtection="1">
      <alignment horizontal="left"/>
      <protection hidden="1"/>
    </xf>
    <xf numFmtId="4" fontId="34" fillId="27" borderId="22" xfId="0" applyNumberFormat="1" applyFont="1" applyFill="1" applyBorder="1" applyAlignment="1" applyProtection="1">
      <alignment horizontal="left"/>
      <protection hidden="1"/>
    </xf>
  </cellXfs>
  <cellStyles count="44">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Prozent" xfId="33" builtinId="5"/>
    <cellStyle name="Schlecht" xfId="34" builtinId="27" customBuiltin="1"/>
    <cellStyle name="Standard" xfId="0" builtinId="0"/>
    <cellStyle name="Standard_Umsatzplanung" xfId="35" xr:uid="{00000000-0005-0000-0000-000023000000}"/>
    <cellStyle name="Überschrift" xfId="36" builtinId="15" customBuiltin="1"/>
    <cellStyle name="Überschrift 1" xfId="37" builtinId="16" customBuiltin="1"/>
    <cellStyle name="Überschrift 2" xfId="38" builtinId="17" customBuiltin="1"/>
    <cellStyle name="Überschrift 3" xfId="39" builtinId="18" customBuiltin="1"/>
    <cellStyle name="Überschrift 4" xfId="40" builtinId="19" customBuiltin="1"/>
    <cellStyle name="Verknüpfte Zelle" xfId="41" builtinId="24" customBuiltin="1"/>
    <cellStyle name="Warnender Text" xfId="42" builtinId="11" customBuiltin="1"/>
    <cellStyle name="Zelle überprüfen" xfId="43" builtinId="23" customBuiltin="1"/>
  </cellStyles>
  <dxfs count="6">
    <dxf>
      <font>
        <condense val="0"/>
        <extend val="0"/>
        <color auto="1"/>
      </font>
      <fill>
        <patternFill patternType="none">
          <bgColor indexed="65"/>
        </patternFill>
      </fill>
      <border>
        <left style="thin">
          <color indexed="64"/>
        </left>
        <right style="thin">
          <color indexed="64"/>
        </right>
        <top style="thin">
          <color indexed="64"/>
        </top>
        <bottom style="thin">
          <color indexed="64"/>
        </bottom>
      </border>
    </dxf>
    <dxf>
      <fill>
        <patternFill>
          <bgColor indexed="53"/>
        </patternFill>
      </fill>
      <border>
        <left style="thin">
          <color indexed="64"/>
        </left>
        <right style="thin">
          <color indexed="64"/>
        </right>
        <top style="thin">
          <color indexed="64"/>
        </top>
        <bottom style="thin">
          <color indexed="64"/>
        </bottom>
      </border>
    </dxf>
    <dxf>
      <fill>
        <patternFill patternType="none">
          <bgColor indexed="65"/>
        </patternFill>
      </fill>
      <border>
        <left style="thin">
          <color indexed="64"/>
        </left>
        <right style="thin">
          <color indexed="64"/>
        </right>
        <top style="thin">
          <color indexed="64"/>
        </top>
        <bottom style="thin">
          <color indexed="64"/>
        </bottom>
      </border>
    </dxf>
    <dxf>
      <font>
        <condense val="0"/>
        <extend val="0"/>
        <color auto="1"/>
      </font>
      <fill>
        <patternFill>
          <bgColor indexed="9"/>
        </patternFill>
      </fill>
      <border>
        <left style="thin">
          <color indexed="64"/>
        </left>
        <right style="thin">
          <color indexed="64"/>
        </right>
        <top style="thin">
          <color indexed="64"/>
        </top>
        <bottom style="thin">
          <color indexed="64"/>
        </bottom>
      </border>
    </dxf>
    <dxf>
      <fill>
        <patternFill>
          <bgColor indexed="5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EAF7D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6F1F7"/>
      <rgbColor rgb="003366FF"/>
      <rgbColor rgb="0033CCCC"/>
      <rgbColor rgb="00EBEBEB"/>
      <rgbColor rgb="000668AF"/>
      <rgbColor rgb="00E4DDB6"/>
      <rgbColor rgb="00EAE3C6"/>
      <rgbColor rgb="00666699"/>
      <rgbColor rgb="00969696"/>
      <rgbColor rgb="00003366"/>
      <rgbColor rgb="00339966"/>
      <rgbColor rgb="00003300"/>
      <rgbColor rgb="007AB031"/>
      <rgbColor rgb="009B0000"/>
      <rgbColor rgb="00993366"/>
      <rgbColor rgb="00333399"/>
      <rgbColor rgb="00333333"/>
    </indexedColors>
    <mruColors>
      <color rgb="FFEAE3C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66675</xdr:colOff>
      <xdr:row>5</xdr:row>
      <xdr:rowOff>66675</xdr:rowOff>
    </xdr:from>
    <xdr:to>
      <xdr:col>3</xdr:col>
      <xdr:colOff>5457825</xdr:colOff>
      <xdr:row>6</xdr:row>
      <xdr:rowOff>95250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933450" y="1047750"/>
          <a:ext cx="5495925" cy="590550"/>
        </a:xfrm>
        <a:prstGeom prst="rect">
          <a:avLst/>
        </a:prstGeom>
        <a:solidFill>
          <a:srgbClr val="EAE3C6"/>
        </a:solidFill>
        <a:ln w="9525">
          <a:noFill/>
          <a:miter lim="800000"/>
          <a:headEnd/>
          <a:tailEnd/>
        </a:ln>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Mit dem Tool </a:t>
          </a:r>
          <a:r>
            <a:rPr lang="de-DE" sz="1000" b="1" i="0" u="none" strike="noStrike" baseline="0">
              <a:solidFill>
                <a:srgbClr val="000000"/>
              </a:solidFill>
              <a:latin typeface="Arial"/>
              <a:cs typeface="Arial"/>
            </a:rPr>
            <a:t>"Dienstwagenrechner-Arbeitnehmer"</a:t>
          </a:r>
          <a:r>
            <a:rPr lang="de-DE" sz="1000" b="0" i="0" u="none" strike="noStrike" baseline="0">
              <a:solidFill>
                <a:srgbClr val="000000"/>
              </a:solidFill>
              <a:latin typeface="Arial"/>
              <a:cs typeface="Arial"/>
            </a:rPr>
            <a:t> können Sie berechnen, ob es für  Ihren Arbeitnehmer günstiger ist, die private Nutzung eines Dienstwagens nach Fahrtenbuchmethode oder nach Pauschal-Regel zu versteuern.</a:t>
          </a:r>
        </a:p>
      </xdr:txBody>
    </xdr:sp>
    <xdr:clientData/>
  </xdr:twoCellAnchor>
  <xdr:twoCellAnchor>
    <xdr:from>
      <xdr:col>2</xdr:col>
      <xdr:colOff>47625</xdr:colOff>
      <xdr:row>9</xdr:row>
      <xdr:rowOff>123825</xdr:rowOff>
    </xdr:from>
    <xdr:to>
      <xdr:col>4</xdr:col>
      <xdr:colOff>0</xdr:colOff>
      <xdr:row>15</xdr:row>
      <xdr:rowOff>95250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914400" y="2162175"/>
          <a:ext cx="5534025" cy="6905625"/>
        </a:xfrm>
        <a:prstGeom prst="rect">
          <a:avLst/>
        </a:prstGeom>
        <a:solidFill>
          <a:srgbClr val="EAE3C6"/>
        </a:solidFill>
        <a:ln w="9525">
          <a:noFill/>
          <a:miter lim="800000"/>
          <a:headEnd/>
          <a:tailEnd/>
        </a:ln>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Nach einmaliger Eingabe einiger grundlegender Daten im Arbeitsblatt </a:t>
          </a:r>
          <a:r>
            <a:rPr lang="de-DE" sz="1000" b="1" i="0" u="none" strike="noStrike" baseline="0">
              <a:solidFill>
                <a:srgbClr val="000000"/>
              </a:solidFill>
              <a:latin typeface="Arial"/>
              <a:cs typeface="Arial"/>
            </a:rPr>
            <a:t>"Stammdaten"</a:t>
          </a:r>
          <a:r>
            <a:rPr lang="de-DE" sz="1000" b="0" i="0" u="none" strike="noStrike" baseline="0">
              <a:solidFill>
                <a:srgbClr val="000000"/>
              </a:solidFill>
              <a:latin typeface="Arial"/>
              <a:cs typeface="Arial"/>
            </a:rPr>
            <a:t> können Sie direkt in das Arbeitsblatt </a:t>
          </a:r>
          <a:r>
            <a:rPr lang="de-DE" sz="1000" b="1" i="0" u="none" strike="noStrike" baseline="0">
              <a:solidFill>
                <a:srgbClr val="000000"/>
              </a:solidFill>
              <a:latin typeface="Arial"/>
              <a:cs typeface="Arial"/>
            </a:rPr>
            <a:t>"Pauschal-Methode"</a:t>
          </a:r>
          <a:r>
            <a:rPr lang="de-DE" sz="1000" b="0" i="0" u="none" strike="noStrike" baseline="0">
              <a:solidFill>
                <a:srgbClr val="000000"/>
              </a:solidFill>
              <a:latin typeface="Arial"/>
              <a:cs typeface="Arial"/>
            </a:rPr>
            <a:t> wechseln. Hier sind zunächst die Berechnungsparameter im oberen Bereich zu überprüfen. Hinweise zu den Eingabefeldern sind in einem Kommentar hinterlegt. Die Programmparameter sind auf dem Stand des Jahres 2019.</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Wichtig ist, dass Sie in der Zelle I9 auswählen, ob Sie ein </a:t>
          </a:r>
          <a:r>
            <a:rPr lang="de-DE" sz="1000" b="1" i="0" u="none" strike="noStrike" baseline="0">
              <a:solidFill>
                <a:srgbClr val="000000"/>
              </a:solidFill>
              <a:latin typeface="Arial"/>
              <a:cs typeface="Arial"/>
            </a:rPr>
            <a:t>steuerlich gefördertes Fahrzeug </a:t>
          </a:r>
          <a:r>
            <a:rPr lang="de-DE" sz="1000" b="0" i="0" u="none" strike="noStrike" baseline="0">
              <a:solidFill>
                <a:srgbClr val="000000"/>
              </a:solidFill>
              <a:latin typeface="Arial"/>
              <a:cs typeface="Arial"/>
            </a:rPr>
            <a:t>nutzen (welches nur mit </a:t>
          </a:r>
          <a:r>
            <a:rPr lang="de-DE" sz="1000" b="1" i="0" u="none" strike="noStrike" baseline="0">
              <a:solidFill>
                <a:srgbClr val="000000"/>
              </a:solidFill>
              <a:latin typeface="Arial"/>
              <a:cs typeface="Arial"/>
            </a:rPr>
            <a:t>0,5%</a:t>
          </a:r>
          <a:r>
            <a:rPr lang="de-DE" sz="1000" b="0" i="0" u="none" strike="noStrike" baseline="0">
              <a:solidFill>
                <a:srgbClr val="000000"/>
              </a:solidFill>
              <a:latin typeface="Arial"/>
              <a:cs typeface="Arial"/>
            </a:rPr>
            <a:t> besteuert wird) oder ein </a:t>
          </a:r>
          <a:r>
            <a:rPr lang="de-DE" sz="1000" b="1" i="0" u="none" strike="noStrike" baseline="0">
              <a:solidFill>
                <a:srgbClr val="000000"/>
              </a:solidFill>
              <a:latin typeface="Arial"/>
              <a:cs typeface="Arial"/>
            </a:rPr>
            <a:t>"normales" Fahrzeug </a:t>
          </a:r>
          <a:r>
            <a:rPr lang="de-DE" sz="1000" b="0" i="0" u="none" strike="noStrike" baseline="0">
              <a:solidFill>
                <a:srgbClr val="000000"/>
              </a:solidFill>
              <a:latin typeface="Arial"/>
              <a:cs typeface="Arial"/>
            </a:rPr>
            <a:t>nutzen, dass mit </a:t>
          </a:r>
          <a:r>
            <a:rPr lang="de-DE" sz="1000" b="1" i="0" u="none" strike="noStrike" baseline="0">
              <a:solidFill>
                <a:srgbClr val="000000"/>
              </a:solidFill>
              <a:latin typeface="Arial"/>
              <a:cs typeface="Arial"/>
            </a:rPr>
            <a:t>1,0%</a:t>
          </a:r>
          <a:r>
            <a:rPr lang="de-DE" sz="1000" b="0" i="0" u="none" strike="noStrike" baseline="0">
              <a:solidFill>
                <a:srgbClr val="000000"/>
              </a:solidFill>
              <a:latin typeface="Arial"/>
              <a:cs typeface="Arial"/>
            </a:rPr>
            <a:t> besteuert wird.</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Zur weiteren Ermittlung des geldwerten Vorteils ist in den Zeilen 21 bis 25 die Eingabe</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 des Bruttolistenpreises (inkl. der gesetzlichen Umsatzsteuer),</a:t>
          </a:r>
        </a:p>
        <a:p>
          <a:pPr algn="l" rtl="0">
            <a:defRPr sz="1000"/>
          </a:pPr>
          <a:r>
            <a:rPr lang="de-DE" sz="1000" b="0" i="0" u="none" strike="noStrike" baseline="0">
              <a:solidFill>
                <a:srgbClr val="000000"/>
              </a:solidFill>
              <a:latin typeface="Arial"/>
              <a:cs typeface="Arial"/>
            </a:rPr>
            <a:t>- weiterer Sonderausstattung, die nicht ab Werk eingebaut wurde, und</a:t>
          </a:r>
        </a:p>
        <a:p>
          <a:pPr algn="l" rtl="0">
            <a:defRPr sz="1000"/>
          </a:pPr>
          <a:r>
            <a:rPr lang="de-DE" sz="1000" b="0" i="0" u="none" strike="noStrike" baseline="0">
              <a:solidFill>
                <a:srgbClr val="000000"/>
              </a:solidFill>
              <a:latin typeface="Arial"/>
              <a:cs typeface="Arial"/>
            </a:rPr>
            <a:t>- etwaige monatliche Zuzahlungen Ihres Arbeitnehmers für die private Nutzungsübelassung</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erforderlich.</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Die Fahrten zwischen Wohnung bzw. Zweitwohnung und Arbeitsstätte werden in den Zeilen 29 bis 35 berücksichtigt. Bitte geben Sie in Zelle I29 die einfache Entfernung zwischen Wohnung (Zweitwohnung) und Arbeitsstätte ein. Durch eine entsprechende Eingabe in Zelle I33 können Sie festlegen, ob sie hierfür die pauschale Versteuerung wählen.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Sofern ein doppelter Wohnsitz besteht, geben Sie dies bitte in Zelle I37 an. Besteht ein doppelter Wohnsitz sind hier die Anzahl der monatlichen Familienheimfahrten und die Entfernungskilometer anzugeben.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Weitere Eingaben sind nicht erforderlich. In Zelle S43 wird Ihnen angezeigt, welcher Betrag dem monatlichen Gehalt durch die private Dienstwagennutzung hinzuzurechnen ist.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Für den direkten Vergleich mit der </a:t>
          </a:r>
          <a:r>
            <a:rPr lang="de-DE" sz="1000" b="1" i="0" u="none" strike="noStrike" baseline="0">
              <a:solidFill>
                <a:srgbClr val="000000"/>
              </a:solidFill>
              <a:latin typeface="Arial"/>
              <a:cs typeface="Arial"/>
            </a:rPr>
            <a:t>Fahrtenbuchmethode</a:t>
          </a:r>
          <a:r>
            <a:rPr lang="de-DE" sz="1000" b="0" i="0" u="none" strike="noStrike" baseline="0">
              <a:solidFill>
                <a:srgbClr val="000000"/>
              </a:solidFill>
              <a:latin typeface="Arial"/>
              <a:cs typeface="Arial"/>
            </a:rPr>
            <a:t> wechseln Sie in das entsprechende Arbeitsblatt. Alle Eingaben, die Sie zuvor gemacht haben, werden übernommen.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Zunächst ist für das Fahrzeug die Gesamtleistung - differenziert nach privaten und dienstlichen Fahrten - zu ermitteln. Die Eingaben werden in den Zeilen 21 bis 26 gemacht. Sofern Familienheimfahrten zu berücksichtigen sind, wurden diese bereits übernommen. Anschließend sind die für den Dienstwagen angefallenen Kosten in den Zeilen 30 bis 32 einzugeben.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Weitere Eingaben sind nicht erforderlich, da alle erforderlichen Angaben bereits im Arbeitsblatt </a:t>
          </a:r>
          <a:r>
            <a:rPr lang="de-DE" sz="1000" b="1" i="0" u="none" strike="noStrike" baseline="0">
              <a:solidFill>
                <a:srgbClr val="000000"/>
              </a:solidFill>
              <a:latin typeface="Arial"/>
              <a:cs typeface="Arial"/>
            </a:rPr>
            <a:t>"Pauschal-Methode"</a:t>
          </a:r>
          <a:r>
            <a:rPr lang="de-DE" sz="1000" b="0" i="0" u="none" strike="noStrike" baseline="0">
              <a:solidFill>
                <a:srgbClr val="000000"/>
              </a:solidFill>
              <a:latin typeface="Arial"/>
              <a:cs typeface="Arial"/>
            </a:rPr>
            <a:t> gemacht wurden.</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Welcher Betrag nach der Fahrtenbuchmethode dem Arbeitslohn hinzuzurechnen ist, wird in der Zelle S66 angezeigt.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In den Zeilen 70 bis 73 werden die beiden grundsätzlichen Methoden schließlich noch einmal verglichen.</a:t>
          </a:r>
        </a:p>
        <a:p>
          <a:pPr algn="l" rtl="0">
            <a:defRPr sz="1000"/>
          </a:pPr>
          <a:endParaRPr lang="de-DE"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autoPageBreaks="0"/>
  </sheetPr>
  <dimension ref="A2:IT23"/>
  <sheetViews>
    <sheetView showGridLines="0" zoomScaleNormal="100" workbookViewId="0">
      <selection activeCell="B3" sqref="B3:H3"/>
    </sheetView>
  </sheetViews>
  <sheetFormatPr baseColWidth="10" defaultColWidth="11.44140625" defaultRowHeight="13.2" x14ac:dyDescent="0.25"/>
  <cols>
    <col min="1" max="1" width="11.44140625" style="3"/>
    <col min="2" max="3" width="1.5546875" style="3" customWidth="1"/>
    <col min="4" max="4" width="34.109375" style="3" customWidth="1"/>
    <col min="5" max="5" width="19" style="3" customWidth="1"/>
    <col min="6" max="6" width="11.44140625" style="3"/>
    <col min="7" max="8" width="1.5546875" style="3" customWidth="1"/>
    <col min="9" max="9" width="12" style="3" bestFit="1" customWidth="1"/>
    <col min="10" max="10" width="11.44140625" style="3"/>
    <col min="11" max="11" width="0" style="3" hidden="1" customWidth="1"/>
    <col min="12" max="16384" width="11.44140625" style="3"/>
  </cols>
  <sheetData>
    <row r="2" spans="1:254" ht="13.8" thickBot="1" x14ac:dyDescent="0.3"/>
    <row r="3" spans="1:254" s="1" customFormat="1" ht="25.5" customHeight="1" thickBot="1" x14ac:dyDescent="0.3">
      <c r="A3" s="3"/>
      <c r="B3" s="156" t="s">
        <v>60</v>
      </c>
      <c r="C3" s="157"/>
      <c r="D3" s="157"/>
      <c r="E3" s="157"/>
      <c r="F3" s="157"/>
      <c r="G3" s="157"/>
      <c r="H3" s="158"/>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row>
    <row r="4" spans="1:254" x14ac:dyDescent="0.25">
      <c r="B4" s="4"/>
      <c r="H4" s="5"/>
    </row>
    <row r="5" spans="1:254" x14ac:dyDescent="0.25">
      <c r="B5" s="4"/>
      <c r="C5" s="104"/>
      <c r="D5" s="159" t="s">
        <v>0</v>
      </c>
      <c r="E5" s="160"/>
      <c r="F5" s="2"/>
      <c r="G5" s="2"/>
      <c r="H5" s="5"/>
    </row>
    <row r="6" spans="1:254" x14ac:dyDescent="0.25">
      <c r="B6" s="4"/>
      <c r="C6" s="105"/>
      <c r="D6" s="106"/>
      <c r="E6" s="106"/>
      <c r="F6" s="106"/>
      <c r="G6" s="107"/>
      <c r="H6" s="5"/>
    </row>
    <row r="7" spans="1:254" x14ac:dyDescent="0.25">
      <c r="B7" s="4"/>
      <c r="C7" s="108"/>
      <c r="D7" s="109" t="s">
        <v>1</v>
      </c>
      <c r="E7" s="115">
        <v>2023</v>
      </c>
      <c r="F7" s="110"/>
      <c r="G7" s="111"/>
      <c r="H7" s="5"/>
      <c r="K7" s="3">
        <f ca="1">+YEAR(TODAY())-2</f>
        <v>2021</v>
      </c>
    </row>
    <row r="8" spans="1:254" x14ac:dyDescent="0.25">
      <c r="B8" s="4"/>
      <c r="C8" s="108"/>
      <c r="D8" s="109"/>
      <c r="E8" s="110"/>
      <c r="F8" s="110"/>
      <c r="G8" s="111"/>
      <c r="H8" s="5"/>
      <c r="K8" s="3">
        <f ca="1">1+K7</f>
        <v>2022</v>
      </c>
    </row>
    <row r="9" spans="1:254" x14ac:dyDescent="0.25">
      <c r="B9" s="4"/>
      <c r="C9" s="108"/>
      <c r="D9" s="109" t="s">
        <v>2</v>
      </c>
      <c r="E9" s="116" t="s">
        <v>77</v>
      </c>
      <c r="F9" s="117"/>
      <c r="G9" s="111"/>
      <c r="H9" s="5"/>
      <c r="K9" s="3">
        <f t="shared" ref="K9:K15" ca="1" si="0">1+K8</f>
        <v>2023</v>
      </c>
    </row>
    <row r="10" spans="1:254" x14ac:dyDescent="0.25">
      <c r="B10" s="4"/>
      <c r="C10" s="108"/>
      <c r="D10" s="109" t="s">
        <v>3</v>
      </c>
      <c r="E10" s="116" t="s">
        <v>78</v>
      </c>
      <c r="F10" s="117"/>
      <c r="G10" s="111"/>
      <c r="H10" s="5"/>
      <c r="K10" s="3">
        <f t="shared" ca="1" si="0"/>
        <v>2024</v>
      </c>
    </row>
    <row r="11" spans="1:254" x14ac:dyDescent="0.25">
      <c r="B11" s="4"/>
      <c r="C11" s="108"/>
      <c r="D11" s="109"/>
      <c r="E11" s="110"/>
      <c r="F11" s="110"/>
      <c r="G11" s="111"/>
      <c r="H11" s="5"/>
      <c r="K11" s="3">
        <f t="shared" ca="1" si="0"/>
        <v>2025</v>
      </c>
    </row>
    <row r="12" spans="1:254" x14ac:dyDescent="0.25">
      <c r="B12" s="4"/>
      <c r="C12" s="108"/>
      <c r="D12" s="109" t="s">
        <v>4</v>
      </c>
      <c r="E12" s="116" t="s">
        <v>79</v>
      </c>
      <c r="F12" s="117"/>
      <c r="G12" s="111"/>
      <c r="H12" s="5"/>
      <c r="K12" s="3">
        <f t="shared" ca="1" si="0"/>
        <v>2026</v>
      </c>
    </row>
    <row r="13" spans="1:254" x14ac:dyDescent="0.25">
      <c r="B13" s="4"/>
      <c r="C13" s="108"/>
      <c r="D13" s="109" t="s">
        <v>6</v>
      </c>
      <c r="E13" s="116" t="s">
        <v>80</v>
      </c>
      <c r="F13" s="117"/>
      <c r="G13" s="111"/>
      <c r="H13" s="5"/>
      <c r="K13" s="3">
        <f t="shared" ca="1" si="0"/>
        <v>2027</v>
      </c>
    </row>
    <row r="14" spans="1:254" x14ac:dyDescent="0.25">
      <c r="B14" s="4"/>
      <c r="C14" s="108"/>
      <c r="D14" s="109" t="s">
        <v>7</v>
      </c>
      <c r="E14" s="116" t="s">
        <v>9</v>
      </c>
      <c r="F14" s="117"/>
      <c r="G14" s="111"/>
      <c r="H14" s="5"/>
      <c r="K14" s="3">
        <f t="shared" ca="1" si="0"/>
        <v>2028</v>
      </c>
    </row>
    <row r="15" spans="1:254" x14ac:dyDescent="0.25">
      <c r="B15" s="4"/>
      <c r="C15" s="108"/>
      <c r="D15" s="109" t="s">
        <v>8</v>
      </c>
      <c r="E15" s="116" t="s">
        <v>81</v>
      </c>
      <c r="F15" s="117"/>
      <c r="G15" s="111"/>
      <c r="H15" s="5"/>
      <c r="K15" s="3">
        <f t="shared" ca="1" si="0"/>
        <v>2029</v>
      </c>
    </row>
    <row r="16" spans="1:254" ht="13.8" thickBot="1" x14ac:dyDescent="0.3">
      <c r="B16" s="4"/>
      <c r="C16" s="112"/>
      <c r="D16" s="113"/>
      <c r="E16" s="113"/>
      <c r="F16" s="113"/>
      <c r="G16" s="114"/>
      <c r="H16" s="5"/>
    </row>
    <row r="17" spans="2:8" x14ac:dyDescent="0.25">
      <c r="B17" s="4"/>
      <c r="H17" s="5"/>
    </row>
    <row r="18" spans="2:8" ht="13.8" thickBot="1" x14ac:dyDescent="0.3">
      <c r="B18" s="6"/>
      <c r="C18" s="7"/>
      <c r="D18" s="7"/>
      <c r="E18" s="7"/>
      <c r="F18" s="7"/>
      <c r="G18" s="7"/>
      <c r="H18" s="8"/>
    </row>
    <row r="21" spans="2:8" x14ac:dyDescent="0.25">
      <c r="B21" s="9" t="s">
        <v>88</v>
      </c>
    </row>
    <row r="22" spans="2:8" x14ac:dyDescent="0.25">
      <c r="B22" s="9" t="s">
        <v>83</v>
      </c>
    </row>
    <row r="23" spans="2:8" x14ac:dyDescent="0.25">
      <c r="B23" s="9" t="s">
        <v>84</v>
      </c>
    </row>
  </sheetData>
  <sheetProtection sheet="1" objects="1" scenarios="1"/>
  <mergeCells count="2">
    <mergeCell ref="B3:H3"/>
    <mergeCell ref="D5:E5"/>
  </mergeCells>
  <phoneticPr fontId="0" type="noConversion"/>
  <dataValidations count="1">
    <dataValidation type="list" showErrorMessage="1" errorTitle="Jahr wählen" error="Bitte wählen Sie aus der Liste ein Jahr, für das der Anlagespiegel erstellt werden soll." sqref="E7" xr:uid="{00000000-0002-0000-0000-000000000000}">
      <formula1>$K$7:$K$15</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autoPageBreaks="0"/>
  </sheetPr>
  <dimension ref="A2:IR21"/>
  <sheetViews>
    <sheetView showGridLines="0" showZeros="0" showOutlineSymbols="0" topLeftCell="A4" zoomScaleNormal="100" workbookViewId="0">
      <selection activeCell="B3" sqref="B3:F3"/>
    </sheetView>
  </sheetViews>
  <sheetFormatPr baseColWidth="10" defaultColWidth="11.44140625" defaultRowHeight="13.2" x14ac:dyDescent="0.25"/>
  <cols>
    <col min="1" max="1" width="11.44140625" style="3"/>
    <col min="2" max="3" width="1.5546875" style="3" customWidth="1"/>
    <col min="4" max="4" width="82.109375" style="3" customWidth="1"/>
    <col min="5" max="6" width="1.5546875" style="3" customWidth="1"/>
    <col min="7" max="7" width="2.5546875" style="3" customWidth="1"/>
    <col min="8" max="16384" width="11.44140625" style="3"/>
  </cols>
  <sheetData>
    <row r="2" spans="1:252" ht="13.8" thickBot="1" x14ac:dyDescent="0.3"/>
    <row r="3" spans="1:252" s="1" customFormat="1" ht="25.5" customHeight="1" thickBot="1" x14ac:dyDescent="0.3">
      <c r="A3" s="3"/>
      <c r="B3" s="161" t="s">
        <v>61</v>
      </c>
      <c r="C3" s="162"/>
      <c r="D3" s="162"/>
      <c r="E3" s="162"/>
      <c r="F3" s="16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row>
    <row r="4" spans="1:252" x14ac:dyDescent="0.25">
      <c r="B4" s="4"/>
      <c r="F4" s="5"/>
    </row>
    <row r="5" spans="1:252" x14ac:dyDescent="0.25">
      <c r="B5" s="4"/>
      <c r="C5" s="104"/>
      <c r="D5" s="118" t="s">
        <v>5</v>
      </c>
      <c r="E5" s="2"/>
      <c r="F5" s="5"/>
    </row>
    <row r="6" spans="1:252" ht="44.25" customHeight="1" x14ac:dyDescent="0.25">
      <c r="B6" s="4"/>
      <c r="C6" s="108"/>
      <c r="D6" s="119"/>
      <c r="E6" s="107"/>
      <c r="F6" s="5"/>
    </row>
    <row r="7" spans="1:252" ht="13.8" thickBot="1" x14ac:dyDescent="0.3">
      <c r="B7" s="4"/>
      <c r="C7" s="112"/>
      <c r="D7" s="113"/>
      <c r="E7" s="114"/>
      <c r="F7" s="5"/>
    </row>
    <row r="8" spans="1:252" x14ac:dyDescent="0.25">
      <c r="B8" s="4"/>
      <c r="F8" s="5"/>
    </row>
    <row r="9" spans="1:252" x14ac:dyDescent="0.25">
      <c r="B9" s="4"/>
      <c r="C9" s="104"/>
      <c r="D9" s="118" t="s">
        <v>62</v>
      </c>
      <c r="E9" s="2"/>
      <c r="F9" s="5"/>
    </row>
    <row r="10" spans="1:252" x14ac:dyDescent="0.25">
      <c r="B10" s="4"/>
      <c r="C10" s="105"/>
      <c r="D10" s="106"/>
      <c r="E10" s="107"/>
      <c r="F10" s="5"/>
    </row>
    <row r="11" spans="1:252" ht="122.25" customHeight="1" x14ac:dyDescent="0.25">
      <c r="B11" s="4"/>
      <c r="C11" s="108"/>
      <c r="D11" s="109"/>
      <c r="E11" s="111"/>
      <c r="F11" s="5"/>
    </row>
    <row r="12" spans="1:252" ht="122.25" customHeight="1" x14ac:dyDescent="0.25">
      <c r="B12" s="4"/>
      <c r="C12" s="108"/>
      <c r="D12" s="109"/>
      <c r="E12" s="111"/>
      <c r="F12" s="5"/>
    </row>
    <row r="13" spans="1:252" ht="122.25" customHeight="1" x14ac:dyDescent="0.25">
      <c r="B13" s="4"/>
      <c r="C13" s="108"/>
      <c r="D13" s="109"/>
      <c r="E13" s="111"/>
      <c r="F13" s="5"/>
    </row>
    <row r="14" spans="1:252" ht="154.65" customHeight="1" x14ac:dyDescent="0.25">
      <c r="B14" s="4"/>
      <c r="C14" s="108"/>
      <c r="D14" s="109"/>
      <c r="E14" s="111"/>
      <c r="F14" s="5"/>
    </row>
    <row r="15" spans="1:252" ht="44.25" customHeight="1" x14ac:dyDescent="0.25">
      <c r="B15" s="4"/>
      <c r="C15" s="108"/>
      <c r="D15" s="109"/>
      <c r="E15" s="111"/>
      <c r="F15" s="5"/>
    </row>
    <row r="16" spans="1:252" ht="13.8" thickBot="1" x14ac:dyDescent="0.3">
      <c r="B16" s="4"/>
      <c r="C16" s="112"/>
      <c r="D16" s="113"/>
      <c r="E16" s="114"/>
      <c r="F16" s="5"/>
    </row>
    <row r="17" spans="2:6" ht="13.8" thickBot="1" x14ac:dyDescent="0.3">
      <c r="B17" s="6"/>
      <c r="C17" s="7"/>
      <c r="D17" s="7"/>
      <c r="E17" s="7"/>
      <c r="F17" s="8"/>
    </row>
    <row r="19" spans="2:6" x14ac:dyDescent="0.25">
      <c r="B19" s="9" t="s">
        <v>88</v>
      </c>
    </row>
    <row r="20" spans="2:6" x14ac:dyDescent="0.25">
      <c r="B20" s="9" t="s">
        <v>83</v>
      </c>
    </row>
    <row r="21" spans="2:6" x14ac:dyDescent="0.25">
      <c r="B21" s="9" t="s">
        <v>84</v>
      </c>
    </row>
  </sheetData>
  <sheetProtection sheet="1" objects="1" scenarios="1"/>
  <mergeCells count="1">
    <mergeCell ref="B3:F3"/>
  </mergeCells>
  <phoneticPr fontId="0" type="noConversion"/>
  <printOptions horizontalCentere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1:U53"/>
  <sheetViews>
    <sheetView showGridLines="0" tabSelected="1" zoomScaleNormal="100" workbookViewId="0">
      <selection activeCell="I21" sqref="I21"/>
    </sheetView>
  </sheetViews>
  <sheetFormatPr baseColWidth="10" defaultColWidth="11.44140625" defaultRowHeight="13.2" x14ac:dyDescent="0.25"/>
  <cols>
    <col min="1" max="1" width="2.5546875" style="15" customWidth="1"/>
    <col min="2" max="2" width="0.88671875" style="15" customWidth="1"/>
    <col min="3" max="3" width="1.5546875" style="15" customWidth="1"/>
    <col min="4" max="4" width="17.5546875" style="15" customWidth="1"/>
    <col min="5" max="5" width="4.44140625" style="15" customWidth="1"/>
    <col min="6" max="6" width="1.5546875" style="15" customWidth="1"/>
    <col min="7" max="7" width="13.5546875" style="15" customWidth="1"/>
    <col min="8" max="8" width="0.88671875" style="15" customWidth="1"/>
    <col min="9" max="9" width="8.5546875" style="15" customWidth="1"/>
    <col min="10" max="12" width="1.5546875" style="15" customWidth="1"/>
    <col min="13" max="13" width="8.5546875" style="15" customWidth="1"/>
    <col min="14" max="15" width="0.88671875" style="15" customWidth="1"/>
    <col min="16" max="16" width="8.5546875" style="17" customWidth="1"/>
    <col min="17" max="17" width="1.5546875" style="17" customWidth="1"/>
    <col min="18" max="18" width="0.88671875" style="17" customWidth="1"/>
    <col min="19" max="19" width="8.5546875" style="17" customWidth="1"/>
    <col min="20" max="21" width="0.88671875" style="15" customWidth="1"/>
    <col min="22" max="16384" width="11.44140625" style="15"/>
  </cols>
  <sheetData>
    <row r="1" spans="2:21" s="13" customFormat="1" ht="13.8" thickBot="1" x14ac:dyDescent="0.3">
      <c r="P1" s="14"/>
      <c r="Q1" s="14"/>
      <c r="R1" s="14"/>
      <c r="S1" s="14"/>
    </row>
    <row r="2" spans="2:21" ht="18" thickBot="1" x14ac:dyDescent="0.3">
      <c r="B2" s="164" t="s">
        <v>85</v>
      </c>
      <c r="C2" s="165"/>
      <c r="D2" s="165"/>
      <c r="E2" s="165"/>
      <c r="F2" s="165"/>
      <c r="G2" s="165"/>
      <c r="H2" s="165"/>
      <c r="I2" s="165"/>
      <c r="J2" s="165"/>
      <c r="K2" s="165"/>
      <c r="L2" s="165"/>
      <c r="M2" s="165"/>
      <c r="N2" s="165"/>
      <c r="O2" s="165"/>
      <c r="P2" s="165"/>
      <c r="Q2" s="165"/>
      <c r="R2" s="165"/>
      <c r="S2" s="165"/>
      <c r="T2" s="165"/>
      <c r="U2" s="166"/>
    </row>
    <row r="3" spans="2:21" ht="3" customHeight="1" thickBot="1" x14ac:dyDescent="0.3">
      <c r="B3" s="16"/>
      <c r="U3" s="18"/>
    </row>
    <row r="4" spans="2:21" ht="16.2" thickBot="1" x14ac:dyDescent="0.35">
      <c r="B4" s="120" t="str">
        <f>"Firma: "&amp;Stammdaten!E12</f>
        <v>Firma: Musterfirma GmbH</v>
      </c>
      <c r="C4" s="121"/>
      <c r="D4" s="122"/>
      <c r="E4" s="123"/>
      <c r="F4" s="122"/>
      <c r="G4" s="122"/>
      <c r="H4" s="121"/>
      <c r="I4" s="121"/>
      <c r="J4" s="123"/>
      <c r="K4" s="124"/>
      <c r="L4" s="124"/>
      <c r="M4" s="124"/>
      <c r="N4" s="124"/>
      <c r="O4" s="124"/>
      <c r="P4" s="125"/>
      <c r="Q4" s="125"/>
      <c r="R4" s="125"/>
      <c r="S4" s="125"/>
      <c r="T4" s="126" t="str">
        <f>+"Mitarbeiter: "&amp;P6</f>
        <v>Mitarbeiter: Max Mustermann</v>
      </c>
      <c r="U4" s="127"/>
    </row>
    <row r="5" spans="2:21" x14ac:dyDescent="0.25">
      <c r="B5" s="16"/>
      <c r="U5" s="18"/>
    </row>
    <row r="6" spans="2:21" x14ac:dyDescent="0.25">
      <c r="B6" s="16"/>
      <c r="C6" s="128" t="s">
        <v>17</v>
      </c>
      <c r="D6" s="129"/>
      <c r="E6" s="129"/>
      <c r="F6" s="129"/>
      <c r="G6" s="129"/>
      <c r="H6" s="19"/>
      <c r="J6" s="20"/>
      <c r="L6" s="15" t="s">
        <v>28</v>
      </c>
      <c r="P6" s="172" t="s">
        <v>82</v>
      </c>
      <c r="Q6" s="173"/>
      <c r="R6" s="173"/>
      <c r="S6" s="174"/>
      <c r="U6" s="18"/>
    </row>
    <row r="7" spans="2:21" x14ac:dyDescent="0.25">
      <c r="B7" s="16"/>
      <c r="U7" s="18"/>
    </row>
    <row r="8" spans="2:21" x14ac:dyDescent="0.25">
      <c r="B8" s="16"/>
      <c r="C8" s="15" t="s">
        <v>27</v>
      </c>
      <c r="I8" s="155">
        <v>0.19</v>
      </c>
      <c r="P8" s="15"/>
      <c r="Q8" s="15"/>
      <c r="R8" s="15"/>
      <c r="S8" s="15"/>
      <c r="U8" s="18"/>
    </row>
    <row r="9" spans="2:21" x14ac:dyDescent="0.25">
      <c r="B9" s="16"/>
      <c r="C9" s="15" t="s">
        <v>71</v>
      </c>
      <c r="I9" s="155">
        <v>0.01</v>
      </c>
      <c r="M9" s="175" t="str">
        <f>+IF(I9&lt;&gt;1%,"Steuerlich gefördertes Fahrzeug","Normales Fahrzeug")</f>
        <v>Normales Fahrzeug</v>
      </c>
      <c r="N9" s="176"/>
      <c r="O9" s="176"/>
      <c r="P9" s="176"/>
      <c r="Q9" s="176"/>
      <c r="R9" s="176"/>
      <c r="S9" s="177"/>
      <c r="U9" s="18"/>
    </row>
    <row r="10" spans="2:21" x14ac:dyDescent="0.25">
      <c r="B10" s="16"/>
      <c r="U10" s="18"/>
    </row>
    <row r="11" spans="2:21" x14ac:dyDescent="0.25">
      <c r="B11" s="16"/>
      <c r="C11" s="15" t="s">
        <v>72</v>
      </c>
      <c r="I11" s="153">
        <f>+IF(I9=1%,0.03%,IF(I9=0.5%,0.03%/2,0.03%/4))</f>
        <v>2.9999999999999997E-4</v>
      </c>
      <c r="L11" s="15" t="s">
        <v>29</v>
      </c>
      <c r="P11" s="172" t="s">
        <v>31</v>
      </c>
      <c r="Q11" s="173"/>
      <c r="R11" s="173"/>
      <c r="S11" s="174"/>
      <c r="U11" s="18"/>
    </row>
    <row r="12" spans="2:21" x14ac:dyDescent="0.25">
      <c r="B12" s="16"/>
      <c r="C12" s="15" t="s">
        <v>73</v>
      </c>
      <c r="I12" s="153">
        <f>+IF(I9=1%,0.002%,IF(I9=0.5%,0.002%/2,0.002%/4))</f>
        <v>2.0000000000000002E-5</v>
      </c>
      <c r="L12" s="15" t="s">
        <v>30</v>
      </c>
      <c r="P12" s="169" t="s">
        <v>32</v>
      </c>
      <c r="Q12" s="170"/>
      <c r="R12" s="170"/>
      <c r="S12" s="171"/>
      <c r="U12" s="18"/>
    </row>
    <row r="13" spans="2:21" x14ac:dyDescent="0.25">
      <c r="B13" s="16"/>
      <c r="C13" s="15" t="s">
        <v>20</v>
      </c>
      <c r="I13" s="154">
        <v>0.3</v>
      </c>
      <c r="U13" s="18"/>
    </row>
    <row r="14" spans="2:21" hidden="1" x14ac:dyDescent="0.25">
      <c r="B14" s="16"/>
      <c r="C14" s="15" t="s">
        <v>36</v>
      </c>
      <c r="I14" s="71">
        <v>0</v>
      </c>
      <c r="S14" s="60" t="s">
        <v>53</v>
      </c>
      <c r="U14" s="18"/>
    </row>
    <row r="15" spans="2:21" x14ac:dyDescent="0.25">
      <c r="B15" s="16"/>
      <c r="C15" s="15" t="s">
        <v>24</v>
      </c>
      <c r="I15" s="71">
        <v>15</v>
      </c>
      <c r="L15" s="15" t="s">
        <v>57</v>
      </c>
      <c r="S15" s="71">
        <v>12</v>
      </c>
      <c r="U15" s="18"/>
    </row>
    <row r="16" spans="2:21" x14ac:dyDescent="0.25">
      <c r="B16" s="16"/>
      <c r="I16" s="60"/>
      <c r="U16" s="18"/>
    </row>
    <row r="17" spans="2:21" ht="6.75" customHeight="1" x14ac:dyDescent="0.25">
      <c r="B17" s="16"/>
      <c r="C17" s="130"/>
      <c r="D17" s="130"/>
      <c r="E17" s="130"/>
      <c r="F17" s="130"/>
      <c r="G17" s="130"/>
      <c r="H17" s="130"/>
      <c r="I17" s="130"/>
      <c r="J17" s="130"/>
      <c r="K17" s="130"/>
      <c r="L17" s="130"/>
      <c r="M17" s="130"/>
      <c r="N17" s="130"/>
      <c r="O17" s="130"/>
      <c r="P17" s="131"/>
      <c r="Q17" s="131"/>
      <c r="R17" s="131"/>
      <c r="S17" s="131"/>
      <c r="T17" s="130"/>
      <c r="U17" s="18"/>
    </row>
    <row r="18" spans="2:21" x14ac:dyDescent="0.25">
      <c r="B18" s="16"/>
      <c r="U18" s="18"/>
    </row>
    <row r="19" spans="2:21" s="21" customFormat="1" x14ac:dyDescent="0.25">
      <c r="B19" s="16"/>
      <c r="C19" s="128" t="s">
        <v>13</v>
      </c>
      <c r="D19" s="129"/>
      <c r="E19" s="129"/>
      <c r="F19" s="129"/>
      <c r="G19" s="129"/>
      <c r="H19" s="19"/>
      <c r="I19" s="19"/>
      <c r="J19" s="19"/>
      <c r="L19" s="22"/>
      <c r="M19" s="23"/>
      <c r="N19" s="23"/>
      <c r="O19" s="22"/>
      <c r="P19" s="24"/>
      <c r="Q19" s="24"/>
      <c r="R19" s="61"/>
      <c r="S19" s="24"/>
      <c r="T19" s="25"/>
      <c r="U19" s="26"/>
    </row>
    <row r="20" spans="2:21" s="21" customFormat="1" x14ac:dyDescent="0.25">
      <c r="B20" s="27"/>
      <c r="L20" s="28"/>
      <c r="O20" s="28"/>
      <c r="P20" s="29">
        <v>0.15</v>
      </c>
      <c r="Q20" s="33"/>
      <c r="R20" s="62"/>
      <c r="S20" s="167" t="s">
        <v>16</v>
      </c>
      <c r="T20" s="30"/>
      <c r="U20" s="26"/>
    </row>
    <row r="21" spans="2:21" s="21" customFormat="1" x14ac:dyDescent="0.25">
      <c r="B21" s="27"/>
      <c r="C21" s="21" t="s">
        <v>74</v>
      </c>
      <c r="I21" s="31">
        <v>43000</v>
      </c>
      <c r="L21" s="28"/>
      <c r="O21" s="28"/>
      <c r="P21" s="32" t="s">
        <v>15</v>
      </c>
      <c r="Q21" s="33"/>
      <c r="R21" s="62"/>
      <c r="S21" s="168"/>
      <c r="T21" s="30"/>
      <c r="U21" s="26"/>
    </row>
    <row r="22" spans="2:21" s="21" customFormat="1" x14ac:dyDescent="0.25">
      <c r="B22" s="27"/>
      <c r="C22" s="21" t="s">
        <v>10</v>
      </c>
      <c r="I22" s="31">
        <v>2000</v>
      </c>
      <c r="L22" s="28"/>
      <c r="M22" s="103" t="s">
        <v>41</v>
      </c>
      <c r="O22" s="28"/>
      <c r="P22" s="33"/>
      <c r="Q22" s="33"/>
      <c r="R22" s="62"/>
      <c r="S22" s="33"/>
      <c r="T22" s="30"/>
      <c r="U22" s="26"/>
    </row>
    <row r="23" spans="2:21" s="35" customFormat="1" x14ac:dyDescent="0.25">
      <c r="B23" s="27"/>
      <c r="C23" s="34" t="s">
        <v>75</v>
      </c>
      <c r="I23" s="133">
        <f>+I22+I21</f>
        <v>45000</v>
      </c>
      <c r="L23" s="36"/>
      <c r="M23" s="134">
        <f>+IF(AND(ISNUMBER(I23),ISNUMBER(I9)),ROUND($I$9*I23,2))</f>
        <v>450</v>
      </c>
      <c r="O23" s="36"/>
      <c r="P23" s="37"/>
      <c r="Q23" s="37"/>
      <c r="R23" s="63"/>
      <c r="S23" s="38"/>
      <c r="T23" s="39"/>
      <c r="U23" s="40"/>
    </row>
    <row r="24" spans="2:21" s="35" customFormat="1" x14ac:dyDescent="0.25">
      <c r="B24" s="41"/>
      <c r="C24" s="35" t="s">
        <v>34</v>
      </c>
      <c r="I24" s="42">
        <v>0</v>
      </c>
      <c r="L24" s="36"/>
      <c r="M24" s="134">
        <f>+I24</f>
        <v>0</v>
      </c>
      <c r="O24" s="36"/>
      <c r="P24" s="37"/>
      <c r="Q24" s="37"/>
      <c r="R24" s="63"/>
      <c r="S24" s="37"/>
      <c r="T24" s="39"/>
      <c r="U24" s="40"/>
    </row>
    <row r="25" spans="2:21" s="35" customFormat="1" x14ac:dyDescent="0.25">
      <c r="B25" s="41"/>
      <c r="C25" s="34" t="s">
        <v>12</v>
      </c>
      <c r="D25" s="34"/>
      <c r="E25" s="34"/>
      <c r="F25" s="34"/>
      <c r="G25" s="34"/>
      <c r="H25" s="34"/>
      <c r="I25" s="64"/>
      <c r="J25" s="34"/>
      <c r="K25" s="34"/>
      <c r="L25" s="43"/>
      <c r="M25" s="135">
        <f>+IF(M24&gt;M23,0,M23-M24)</f>
        <v>450</v>
      </c>
      <c r="N25" s="34"/>
      <c r="O25" s="43"/>
      <c r="P25" s="44"/>
      <c r="Q25" s="44"/>
      <c r="R25" s="65"/>
      <c r="S25" s="135">
        <f>+M25</f>
        <v>450</v>
      </c>
      <c r="T25" s="39"/>
      <c r="U25" s="40"/>
    </row>
    <row r="26" spans="2:21" s="35" customFormat="1" x14ac:dyDescent="0.25">
      <c r="B26" s="41"/>
      <c r="L26" s="36"/>
      <c r="O26" s="36"/>
      <c r="P26" s="37"/>
      <c r="Q26" s="37"/>
      <c r="R26" s="63"/>
      <c r="S26" s="37"/>
      <c r="T26" s="39"/>
      <c r="U26" s="40"/>
    </row>
    <row r="27" spans="2:21" x14ac:dyDescent="0.25">
      <c r="B27" s="41"/>
      <c r="C27" s="128" t="s">
        <v>14</v>
      </c>
      <c r="D27" s="132"/>
      <c r="E27" s="132"/>
      <c r="F27" s="132"/>
      <c r="G27" s="132"/>
      <c r="H27" s="20"/>
      <c r="I27" s="20"/>
      <c r="J27" s="20"/>
      <c r="L27" s="45"/>
      <c r="O27" s="45"/>
      <c r="R27" s="66"/>
      <c r="T27" s="46"/>
      <c r="U27" s="18"/>
    </row>
    <row r="28" spans="2:21" x14ac:dyDescent="0.25">
      <c r="B28" s="16"/>
      <c r="L28" s="45"/>
      <c r="O28" s="45"/>
      <c r="R28" s="66"/>
      <c r="T28" s="46"/>
      <c r="U28" s="18"/>
    </row>
    <row r="29" spans="2:21" x14ac:dyDescent="0.25">
      <c r="B29" s="16"/>
      <c r="C29" s="15" t="s">
        <v>69</v>
      </c>
      <c r="I29" s="71">
        <v>25</v>
      </c>
      <c r="L29" s="45"/>
      <c r="M29" s="136">
        <f>+IF(AND(ISNUMBER(I29),ISNUMBER(I23),ISNUMBER(I11)),ROUND(I29*I23*I11*100*0.01,2))</f>
        <v>337.5</v>
      </c>
      <c r="O29" s="45"/>
      <c r="R29" s="66"/>
      <c r="T29" s="46"/>
      <c r="U29" s="18"/>
    </row>
    <row r="30" spans="2:21" x14ac:dyDescent="0.25">
      <c r="B30" s="16"/>
      <c r="C30" s="15" t="s">
        <v>11</v>
      </c>
      <c r="L30" s="45"/>
      <c r="M30" s="136">
        <f>+IF(M24&gt;M23,M24-M23,0)</f>
        <v>0</v>
      </c>
      <c r="O30" s="45"/>
      <c r="R30" s="66"/>
      <c r="T30" s="46"/>
      <c r="U30" s="18"/>
    </row>
    <row r="31" spans="2:21" s="35" customFormat="1" x14ac:dyDescent="0.25">
      <c r="B31" s="16"/>
      <c r="C31" s="34" t="s">
        <v>21</v>
      </c>
      <c r="L31" s="36"/>
      <c r="M31" s="135">
        <f>+IF(M30&gt;M29,0,M29-M30)</f>
        <v>337.5</v>
      </c>
      <c r="O31" s="36"/>
      <c r="P31" s="37"/>
      <c r="Q31" s="37"/>
      <c r="R31" s="63"/>
      <c r="S31" s="37"/>
      <c r="T31" s="39"/>
      <c r="U31" s="40"/>
    </row>
    <row r="32" spans="2:21" x14ac:dyDescent="0.25">
      <c r="B32" s="41"/>
      <c r="C32" s="35"/>
      <c r="D32" s="35"/>
      <c r="E32" s="35"/>
      <c r="F32" s="35"/>
      <c r="G32" s="35"/>
      <c r="H32" s="35"/>
      <c r="I32" s="12" t="str">
        <f>+IF(I33="","Bitte wählen","")</f>
        <v/>
      </c>
      <c r="L32" s="45"/>
      <c r="O32" s="45"/>
      <c r="R32" s="66"/>
      <c r="T32" s="46"/>
      <c r="U32" s="18"/>
    </row>
    <row r="33" spans="2:21" s="35" customFormat="1" x14ac:dyDescent="0.25">
      <c r="B33" s="16"/>
      <c r="C33" s="15" t="s">
        <v>22</v>
      </c>
      <c r="D33" s="15"/>
      <c r="E33" s="15"/>
      <c r="F33" s="15"/>
      <c r="G33" s="15"/>
      <c r="H33" s="15"/>
      <c r="I33" s="69" t="s">
        <v>23</v>
      </c>
      <c r="L33" s="36"/>
      <c r="M33" s="134">
        <f>IF(ISERROR(IF(I33="Ja",IF(ROUND(I15*I13*I29,2)&gt;M31,M31,ROUND(I15*I13*I29,2)),0)),0,IF(I33="Ja",IF(ROUND(I15*I13*I29,2)&gt;M31,M31,ROUND(I15*I13*I29,2)),0))</f>
        <v>112.5</v>
      </c>
      <c r="O33" s="36"/>
      <c r="P33" s="37">
        <f>IF(ISERROR(IF(I33="Ja",ROUND(M33*P20,2),"")),"",IF(I33="Ja",ROUND(M33*P20,2),""))</f>
        <v>16.88</v>
      </c>
      <c r="Q33" s="37"/>
      <c r="R33" s="63"/>
      <c r="S33" s="37"/>
      <c r="T33" s="39"/>
      <c r="U33" s="40"/>
    </row>
    <row r="34" spans="2:21" s="35" customFormat="1" x14ac:dyDescent="0.25">
      <c r="B34" s="41"/>
      <c r="L34" s="36"/>
      <c r="O34" s="36"/>
      <c r="P34" s="37"/>
      <c r="Q34" s="37"/>
      <c r="R34" s="63"/>
      <c r="S34" s="37"/>
      <c r="T34" s="39"/>
      <c r="U34" s="40"/>
    </row>
    <row r="35" spans="2:21" s="35" customFormat="1" x14ac:dyDescent="0.25">
      <c r="B35" s="41"/>
      <c r="C35" s="34" t="s">
        <v>12</v>
      </c>
      <c r="D35" s="34"/>
      <c r="E35" s="34"/>
      <c r="F35" s="34"/>
      <c r="G35" s="34"/>
      <c r="H35" s="34"/>
      <c r="I35" s="34"/>
      <c r="J35" s="34"/>
      <c r="K35" s="34"/>
      <c r="L35" s="43"/>
      <c r="M35" s="135">
        <f>IF(I33="Ja",SUM(M31,-M33),M31)</f>
        <v>225</v>
      </c>
      <c r="N35" s="34"/>
      <c r="O35" s="43"/>
      <c r="P35" s="44"/>
      <c r="Q35" s="44"/>
      <c r="R35" s="65"/>
      <c r="S35" s="135">
        <f>+M35</f>
        <v>225</v>
      </c>
      <c r="T35" s="39"/>
      <c r="U35" s="40"/>
    </row>
    <row r="36" spans="2:21" s="35" customFormat="1" x14ac:dyDescent="0.25">
      <c r="B36" s="41"/>
      <c r="I36" s="12" t="str">
        <f>+IF(I37="","Bitte wählen","")</f>
        <v/>
      </c>
      <c r="L36" s="47"/>
      <c r="M36" s="48"/>
      <c r="N36" s="48"/>
      <c r="O36" s="47"/>
      <c r="P36" s="49"/>
      <c r="Q36" s="49"/>
      <c r="R36" s="67"/>
      <c r="S36" s="49"/>
      <c r="T36" s="50"/>
      <c r="U36" s="40"/>
    </row>
    <row r="37" spans="2:21" s="35" customFormat="1" x14ac:dyDescent="0.25">
      <c r="B37" s="41"/>
      <c r="C37" s="128" t="s">
        <v>33</v>
      </c>
      <c r="D37" s="132"/>
      <c r="E37" s="132"/>
      <c r="F37" s="132"/>
      <c r="G37" s="132"/>
      <c r="H37" s="20"/>
      <c r="I37" s="69" t="s">
        <v>23</v>
      </c>
      <c r="P37" s="37"/>
      <c r="Q37" s="37"/>
      <c r="R37" s="68"/>
      <c r="S37" s="51"/>
      <c r="T37" s="52"/>
      <c r="U37" s="40"/>
    </row>
    <row r="38" spans="2:21" x14ac:dyDescent="0.25">
      <c r="B38" s="41"/>
      <c r="C38" s="35"/>
      <c r="D38" s="35"/>
      <c r="E38" s="35"/>
      <c r="F38" s="35"/>
      <c r="G38" s="35"/>
      <c r="H38" s="35"/>
      <c r="I38" s="53" t="str">
        <f>+IF(AND($I$37="Nein",I39&lt;&gt;""),"Wert löschen","")</f>
        <v/>
      </c>
      <c r="J38" s="20"/>
      <c r="P38" s="53" t="str">
        <f>+IF(AND($I$37="Nein",P39&lt;&gt;""),"Wert löschen","")</f>
        <v/>
      </c>
      <c r="R38" s="66"/>
      <c r="T38" s="46"/>
      <c r="U38" s="18"/>
    </row>
    <row r="39" spans="2:21" s="35" customFormat="1" x14ac:dyDescent="0.25">
      <c r="B39" s="16"/>
      <c r="C39" s="15" t="str">
        <f>+IF(I37="Ja","Doppelter Haushalt","Kein doppelter Haushalt")</f>
        <v>Doppelter Haushalt</v>
      </c>
      <c r="D39" s="15"/>
      <c r="E39" s="15"/>
      <c r="F39" s="15"/>
      <c r="G39" s="54" t="str">
        <f>+IF(I37="Nein","","Anzahl Fahrten")</f>
        <v>Anzahl Fahrten</v>
      </c>
      <c r="H39" s="15"/>
      <c r="I39" s="70">
        <v>4</v>
      </c>
      <c r="J39" s="15"/>
      <c r="K39" s="15"/>
      <c r="L39" s="15" t="str">
        <f>IF(I37="Nein","","einfache km")</f>
        <v>einfache km</v>
      </c>
      <c r="M39" s="15"/>
      <c r="N39" s="15"/>
      <c r="O39" s="15"/>
      <c r="P39" s="70">
        <v>198</v>
      </c>
      <c r="Q39" s="17"/>
      <c r="R39" s="66"/>
      <c r="S39" s="135">
        <f>+IF(I37="Nein",0,IF(P39&gt;0,ROUND(I12*I23*P39*I39*100*0.01,2),0))</f>
        <v>712.8</v>
      </c>
      <c r="T39" s="39"/>
      <c r="U39" s="40"/>
    </row>
    <row r="40" spans="2:21" s="35" customFormat="1" x14ac:dyDescent="0.25">
      <c r="B40" s="41"/>
      <c r="P40" s="37"/>
      <c r="Q40" s="37"/>
      <c r="R40" s="63"/>
      <c r="S40" s="37"/>
      <c r="T40" s="39"/>
      <c r="U40" s="40"/>
    </row>
    <row r="41" spans="2:21" x14ac:dyDescent="0.25">
      <c r="B41" s="41"/>
      <c r="C41" s="128" t="s">
        <v>25</v>
      </c>
      <c r="D41" s="132"/>
      <c r="E41" s="132"/>
      <c r="F41" s="132"/>
      <c r="G41" s="132"/>
      <c r="R41" s="66"/>
      <c r="T41" s="46"/>
      <c r="U41" s="18"/>
    </row>
    <row r="42" spans="2:21" x14ac:dyDescent="0.25">
      <c r="B42" s="16"/>
      <c r="R42" s="66"/>
      <c r="T42" s="46"/>
      <c r="U42" s="18"/>
    </row>
    <row r="43" spans="2:21" s="35" customFormat="1" x14ac:dyDescent="0.25">
      <c r="B43" s="16"/>
      <c r="C43" s="34" t="s">
        <v>25</v>
      </c>
      <c r="D43" s="34"/>
      <c r="E43" s="34"/>
      <c r="F43" s="34"/>
      <c r="G43" s="34"/>
      <c r="H43" s="34"/>
      <c r="I43" s="34"/>
      <c r="J43" s="34"/>
      <c r="K43" s="34"/>
      <c r="L43" s="34"/>
      <c r="M43" s="34"/>
      <c r="N43" s="34"/>
      <c r="O43" s="34"/>
      <c r="P43" s="44"/>
      <c r="Q43" s="44"/>
      <c r="R43" s="65"/>
      <c r="S43" s="135">
        <f>SUM(S39,S35,S25)</f>
        <v>1387.8</v>
      </c>
      <c r="T43" s="55"/>
      <c r="U43" s="40"/>
    </row>
    <row r="44" spans="2:21" s="35" customFormat="1" x14ac:dyDescent="0.25">
      <c r="B44" s="41"/>
      <c r="P44" s="37"/>
      <c r="Q44" s="37"/>
      <c r="R44" s="67"/>
      <c r="S44" s="49"/>
      <c r="T44" s="50"/>
      <c r="U44" s="40"/>
    </row>
    <row r="45" spans="2:21" x14ac:dyDescent="0.25">
      <c r="B45" s="41"/>
      <c r="C45" s="128" t="s">
        <v>26</v>
      </c>
      <c r="D45" s="132"/>
      <c r="E45" s="132"/>
      <c r="F45" s="132"/>
      <c r="G45" s="132"/>
      <c r="U45" s="18"/>
    </row>
    <row r="46" spans="2:21" x14ac:dyDescent="0.25">
      <c r="B46" s="16"/>
      <c r="U46" s="18"/>
    </row>
    <row r="47" spans="2:21" x14ac:dyDescent="0.25">
      <c r="B47" s="16"/>
      <c r="C47" s="10" t="s">
        <v>70</v>
      </c>
      <c r="D47" s="10"/>
      <c r="E47" s="10"/>
      <c r="F47" s="10"/>
      <c r="G47" s="10"/>
      <c r="H47" s="10"/>
      <c r="I47" s="10"/>
      <c r="J47" s="10"/>
      <c r="K47" s="10"/>
      <c r="L47" s="10"/>
      <c r="M47" s="137">
        <f>+SUM(M23,M29,S39)</f>
        <v>1500.3</v>
      </c>
      <c r="N47" s="10"/>
      <c r="O47" s="10"/>
      <c r="P47" s="11"/>
      <c r="Q47" s="11"/>
      <c r="R47" s="11"/>
      <c r="S47" s="137">
        <f>+ROUND(M47/(1+I8)*I8,2)</f>
        <v>239.54</v>
      </c>
      <c r="U47" s="18"/>
    </row>
    <row r="48" spans="2:21" x14ac:dyDescent="0.25">
      <c r="B48" s="16"/>
      <c r="U48" s="18"/>
    </row>
    <row r="49" spans="2:21" ht="13.8" thickBot="1" x14ac:dyDescent="0.3">
      <c r="B49" s="56"/>
      <c r="C49" s="57"/>
      <c r="D49" s="57"/>
      <c r="E49" s="57"/>
      <c r="F49" s="57"/>
      <c r="G49" s="57"/>
      <c r="H49" s="57"/>
      <c r="I49" s="57"/>
      <c r="J49" s="57"/>
      <c r="K49" s="57"/>
      <c r="L49" s="57"/>
      <c r="M49" s="57"/>
      <c r="N49" s="57"/>
      <c r="O49" s="57"/>
      <c r="P49" s="58"/>
      <c r="Q49" s="58"/>
      <c r="R49" s="58"/>
      <c r="S49" s="58"/>
      <c r="T49" s="57"/>
      <c r="U49" s="59"/>
    </row>
    <row r="50" spans="2:21" x14ac:dyDescent="0.25">
      <c r="B50" s="9"/>
      <c r="C50" s="3"/>
      <c r="D50" s="3"/>
      <c r="E50" s="3"/>
      <c r="F50" s="3"/>
      <c r="G50" s="3"/>
      <c r="H50" s="3"/>
      <c r="I50" s="3"/>
      <c r="J50" s="3"/>
      <c r="K50" s="3"/>
      <c r="N50" s="17"/>
    </row>
    <row r="51" spans="2:21" x14ac:dyDescent="0.25">
      <c r="B51" s="9" t="s">
        <v>88</v>
      </c>
      <c r="C51" s="3"/>
      <c r="D51" s="3"/>
      <c r="E51" s="3"/>
      <c r="F51" s="3"/>
      <c r="G51" s="3"/>
      <c r="H51" s="3"/>
      <c r="I51" s="3"/>
      <c r="J51" s="3"/>
      <c r="K51" s="3"/>
      <c r="N51" s="17"/>
    </row>
    <row r="52" spans="2:21" x14ac:dyDescent="0.25">
      <c r="B52" s="9" t="s">
        <v>83</v>
      </c>
      <c r="C52" s="3"/>
      <c r="D52" s="3"/>
      <c r="E52" s="3"/>
      <c r="F52" s="3"/>
      <c r="G52" s="3"/>
      <c r="H52" s="3"/>
      <c r="I52" s="3"/>
      <c r="J52" s="3"/>
      <c r="K52" s="3"/>
      <c r="N52" s="17"/>
    </row>
    <row r="53" spans="2:21" x14ac:dyDescent="0.25">
      <c r="B53" s="15" t="s">
        <v>84</v>
      </c>
    </row>
  </sheetData>
  <sheetProtection sheet="1" formatCells="0" selectLockedCells="1"/>
  <mergeCells count="6">
    <mergeCell ref="B2:U2"/>
    <mergeCell ref="S20:S21"/>
    <mergeCell ref="P12:S12"/>
    <mergeCell ref="P11:S11"/>
    <mergeCell ref="P6:S6"/>
    <mergeCell ref="M9:S9"/>
  </mergeCells>
  <phoneticPr fontId="0" type="noConversion"/>
  <conditionalFormatting sqref="I39">
    <cfRule type="expression" dxfId="5" priority="1" stopIfTrue="1">
      <formula>$I$37="Ja"</formula>
    </cfRule>
  </conditionalFormatting>
  <conditionalFormatting sqref="P33">
    <cfRule type="expression" dxfId="4" priority="3" stopIfTrue="1">
      <formula>$I$33="Ja"</formula>
    </cfRule>
  </conditionalFormatting>
  <conditionalFormatting sqref="P39">
    <cfRule type="expression" dxfId="3" priority="2" stopIfTrue="1">
      <formula>$I$37="Ja"</formula>
    </cfRule>
  </conditionalFormatting>
  <dataValidations count="13">
    <dataValidation type="list" allowBlank="1" showErrorMessage="1" errorTitle="Doppelte Haushaltsführung" error="Hier bitte wählen, ob eine doppelte Haushaltsführung zu berücksichtigen ist." sqref="I37" xr:uid="{00000000-0002-0000-0200-000000000000}">
      <formula1>"Ja,Nein"</formula1>
    </dataValidation>
    <dataValidation type="list" allowBlank="1" showErrorMessage="1" errorTitle="USt-Satz eingeben" error="Hier bitte den aktuellen USt-Satz eingeben." sqref="I8" xr:uid="{00000000-0002-0000-0200-000001000000}">
      <formula1>"19%,16%"</formula1>
    </dataValidation>
    <dataValidation type="list" allowBlank="1" showErrorMessage="1" errorTitle="Pauschalversteuerung auswählen" error="Hier bitte den Satz für die Pauschalversteuerung auswählen" sqref="I9" xr:uid="{00000000-0002-0000-0200-000002000000}">
      <mc:AlternateContent xmlns:x12ac="http://schemas.microsoft.com/office/spreadsheetml/2011/1/ac" xmlns:mc="http://schemas.openxmlformats.org/markup-compatibility/2006">
        <mc:Choice Requires="x12ac">
          <x12ac:list>"1,00%","0,50%","0,25%"</x12ac:list>
        </mc:Choice>
        <mc:Fallback>
          <formula1>"1,00%,0,50%,0,25%"</formula1>
        </mc:Fallback>
      </mc:AlternateContent>
    </dataValidation>
    <dataValidation type="decimal" allowBlank="1" showInputMessage="1" showErrorMessage="1" errorTitle="Fahrten Wohnun Arbeit" error="Hier bitte angeben, mit welchen Prozentwert Fahrten zwischen Wohnung und Arbeit angesetzt werden." sqref="I11" xr:uid="{00000000-0002-0000-0200-000003000000}">
      <formula1>0</formula1>
      <formula2>0.01</formula2>
    </dataValidation>
    <dataValidation type="decimal" allowBlank="1" showErrorMessage="1" errorTitle="Familienheimfahrten" error="Hier bitte angeben, mit welchen Prozentwert Fahrten zwischen Wohnung und Arbeit angesetzt werden." sqref="I12" xr:uid="{00000000-0002-0000-0200-000004000000}">
      <formula1>0</formula1>
      <formula2>0.01</formula2>
    </dataValidation>
    <dataValidation type="decimal" allowBlank="1" showErrorMessage="1" errorTitle="Kilometerpauschale" error="Hier bitte die aktuelle Kilometerpauschale (Werbungskosten) eingeben." sqref="I13" xr:uid="{00000000-0002-0000-0200-000005000000}">
      <formula1>0</formula1>
      <formula2>1</formula2>
    </dataValidation>
    <dataValidation type="whole" allowBlank="1" showErrorMessage="1" errorTitle="Kilometer ohne Ansatz" error="Hier bitte eingeben, ab wie viel Kilometer beim Ansatz der Kilometerpauschale unberücksichtigt bleiben." sqref="I14" xr:uid="{00000000-0002-0000-0200-000006000000}">
      <formula1>0</formula1>
      <formula2>100</formula2>
    </dataValidation>
    <dataValidation type="whole" allowBlank="1" showErrorMessage="1" errorTitle="Farten für pauschale Steuer" error="Hier bitte die Anzahl der Fahrten für die pauschale Versteuerung eingeben." sqref="I15" xr:uid="{00000000-0002-0000-0200-000007000000}">
      <formula1>0</formula1>
      <formula2>31</formula2>
    </dataValidation>
    <dataValidation type="whole" allowBlank="1" showErrorMessage="1" errorTitle="Einsatzmonate" error="Hier bitte eingeben, wie viele Monate des Jahres das Fahrzeug als Firmenfahrzeug zur Verfügung stand." sqref="S15" xr:uid="{00000000-0002-0000-0200-000008000000}">
      <formula1>1</formula1>
      <formula2>12</formula2>
    </dataValidation>
    <dataValidation type="decimal" allowBlank="1" showErrorMessage="1" errorTitle="Listenverkaufspreis" error="Hier bitte den Listenverkaufspreis inkl. USt (zwischen 5.000 und 500.000 Euro) eingeben." sqref="I21" xr:uid="{00000000-0002-0000-0200-000009000000}">
      <formula1>5000</formula1>
      <formula2>500000</formula2>
    </dataValidation>
    <dataValidation type="decimal" allowBlank="1" showErrorMessage="1" errorTitle="Sonderausstattung" error="Hier bitte die Sonderausstattung (zwischen o und 25.000 Euro) eingeben, die im Listenverkaufspreis noch nicht berücksichtigt wurde." sqref="I22" xr:uid="{00000000-0002-0000-0200-00000A000000}">
      <formula1>0</formula1>
      <formula2>25000</formula2>
    </dataValidation>
    <dataValidation type="whole" allowBlank="1" showErrorMessage="1" errorTitle="Entfernung Wohnung / Arbeit" error="Hier bitte die Entfernungskilometer zwischen Wohnung bzw. Zweitwohnung und Arbeitsstätte eingeben." sqref="I29" xr:uid="{00000000-0002-0000-0200-00000B000000}">
      <formula1>0</formula1>
      <formula2>1000</formula2>
    </dataValidation>
    <dataValidation type="list" allowBlank="1" showInputMessage="1" showErrorMessage="1" errorTitle="Pauschale Versteuerung" error="Hier bitte angeben, ob die Möglichkeit der pauschalen Versteuerung genutzt werden soll." sqref="I33" xr:uid="{00000000-0002-0000-0200-00000C000000}">
      <formula1>"Ja,Nein"</formula1>
    </dataValidation>
  </dataValidations>
  <printOptions horizontalCentered="1"/>
  <pageMargins left="0.59055118110236227" right="0.39370078740157483" top="0.59055118110236227" bottom="0.59055118110236227" header="0.51181102362204722" footer="0.51181102362204722"/>
  <pageSetup paperSize="9" scale="10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W79"/>
  <sheetViews>
    <sheetView showGridLines="0" zoomScaleNormal="100" workbookViewId="0">
      <selection activeCell="M21" sqref="M21"/>
    </sheetView>
  </sheetViews>
  <sheetFormatPr baseColWidth="10" defaultColWidth="11.44140625" defaultRowHeight="13.2" x14ac:dyDescent="0.25"/>
  <cols>
    <col min="1" max="1" width="2.5546875" style="13" customWidth="1"/>
    <col min="2" max="2" width="0.88671875" style="13" customWidth="1"/>
    <col min="3" max="3" width="1.5546875" style="13" customWidth="1"/>
    <col min="4" max="4" width="17.5546875" style="13" customWidth="1"/>
    <col min="5" max="5" width="4.44140625" style="13" customWidth="1"/>
    <col min="6" max="6" width="1.5546875" style="13" customWidth="1"/>
    <col min="7" max="7" width="13.5546875" style="13" customWidth="1"/>
    <col min="8" max="8" width="0.88671875" style="13" customWidth="1"/>
    <col min="9" max="9" width="8.5546875" style="13" customWidth="1"/>
    <col min="10" max="12" width="1.5546875" style="13" customWidth="1"/>
    <col min="13" max="13" width="8.5546875" style="13" customWidth="1"/>
    <col min="14" max="15" width="0.88671875" style="13" customWidth="1"/>
    <col min="16" max="16" width="8.5546875" style="14" customWidth="1"/>
    <col min="17" max="17" width="1.5546875" style="14" customWidth="1"/>
    <col min="18" max="18" width="0.88671875" style="14" customWidth="1"/>
    <col min="19" max="19" width="9.88671875" style="14" bestFit="1" customWidth="1"/>
    <col min="20" max="21" width="0.88671875" style="13" customWidth="1"/>
    <col min="22" max="22" width="1.5546875" style="13" customWidth="1"/>
    <col min="23" max="23" width="29" style="13" bestFit="1" customWidth="1"/>
    <col min="24" max="16384" width="11.44140625" style="13"/>
  </cols>
  <sheetData>
    <row r="1" spans="2:21" ht="13.8" thickBot="1" x14ac:dyDescent="0.3"/>
    <row r="2" spans="2:21" ht="18" thickBot="1" x14ac:dyDescent="0.3">
      <c r="B2" s="164" t="s">
        <v>64</v>
      </c>
      <c r="C2" s="165"/>
      <c r="D2" s="165"/>
      <c r="E2" s="165"/>
      <c r="F2" s="165"/>
      <c r="G2" s="165"/>
      <c r="H2" s="165"/>
      <c r="I2" s="165"/>
      <c r="J2" s="165"/>
      <c r="K2" s="165"/>
      <c r="L2" s="165"/>
      <c r="M2" s="165"/>
      <c r="N2" s="165"/>
      <c r="O2" s="165"/>
      <c r="P2" s="165"/>
      <c r="Q2" s="165"/>
      <c r="R2" s="165"/>
      <c r="S2" s="165"/>
      <c r="T2" s="165"/>
      <c r="U2" s="166"/>
    </row>
    <row r="3" spans="2:21" ht="3" customHeight="1" thickBot="1" x14ac:dyDescent="0.3">
      <c r="B3" s="72"/>
      <c r="U3" s="73"/>
    </row>
    <row r="4" spans="2:21" ht="16.2" thickBot="1" x14ac:dyDescent="0.35">
      <c r="B4" s="120" t="str">
        <f>"Firma: "&amp;Stammdaten!E12</f>
        <v>Firma: Musterfirma GmbH</v>
      </c>
      <c r="C4" s="121"/>
      <c r="D4" s="122"/>
      <c r="E4" s="123"/>
      <c r="F4" s="122"/>
      <c r="G4" s="122"/>
      <c r="H4" s="121"/>
      <c r="I4" s="121"/>
      <c r="J4" s="123"/>
      <c r="K4" s="124"/>
      <c r="L4" s="124"/>
      <c r="M4" s="124"/>
      <c r="N4" s="124"/>
      <c r="O4" s="124"/>
      <c r="P4" s="125"/>
      <c r="Q4" s="125"/>
      <c r="R4" s="125"/>
      <c r="S4" s="125"/>
      <c r="T4" s="126" t="str">
        <f>+"Mitarbeiter: "&amp;P6</f>
        <v>Mitarbeiter: Max Mustermann</v>
      </c>
      <c r="U4" s="127"/>
    </row>
    <row r="5" spans="2:21" x14ac:dyDescent="0.25">
      <c r="B5" s="72"/>
      <c r="U5" s="73"/>
    </row>
    <row r="6" spans="2:21" x14ac:dyDescent="0.25">
      <c r="B6" s="72"/>
      <c r="C6" s="128" t="s">
        <v>17</v>
      </c>
      <c r="D6" s="129"/>
      <c r="E6" s="129"/>
      <c r="F6" s="129"/>
      <c r="G6" s="129"/>
      <c r="H6" s="19"/>
      <c r="I6" s="19"/>
      <c r="J6" s="20"/>
      <c r="L6" s="13" t="s">
        <v>28</v>
      </c>
      <c r="P6" s="183" t="str">
        <f>+'Pauschal-Methode'!P6</f>
        <v>Max Mustermann</v>
      </c>
      <c r="Q6" s="184">
        <f>+'Pauschal-Methode'!Q6</f>
        <v>0</v>
      </c>
      <c r="R6" s="184">
        <f>+'Pauschal-Methode'!R6</f>
        <v>0</v>
      </c>
      <c r="S6" s="185">
        <f>+'Pauschal-Methode'!S6</f>
        <v>0</v>
      </c>
      <c r="U6" s="73"/>
    </row>
    <row r="7" spans="2:21" x14ac:dyDescent="0.25">
      <c r="B7" s="72"/>
      <c r="U7" s="73"/>
    </row>
    <row r="8" spans="2:21" x14ac:dyDescent="0.25">
      <c r="B8" s="72"/>
      <c r="C8" s="13" t="s">
        <v>27</v>
      </c>
      <c r="I8" s="141">
        <f>+'Pauschal-Methode'!I8</f>
        <v>0.19</v>
      </c>
      <c r="P8" s="13"/>
      <c r="Q8" s="13"/>
      <c r="R8" s="13"/>
      <c r="S8" s="13"/>
      <c r="U8" s="73"/>
    </row>
    <row r="9" spans="2:21" x14ac:dyDescent="0.25">
      <c r="B9" s="72"/>
      <c r="C9" s="13" t="s">
        <v>18</v>
      </c>
      <c r="I9" s="141">
        <f>+'Pauschal-Methode'!I9</f>
        <v>0.01</v>
      </c>
      <c r="L9" s="186" t="str">
        <f>+IF(I9&lt;&gt;1%,"Steuerlich gefördertes Fahrzeut","Normales Fahrzeug")</f>
        <v>Normales Fahrzeug</v>
      </c>
      <c r="M9" s="186"/>
      <c r="N9" s="186"/>
      <c r="O9" s="186"/>
      <c r="P9" s="186"/>
      <c r="Q9" s="186"/>
      <c r="R9" s="186"/>
      <c r="S9" s="187"/>
      <c r="U9" s="73"/>
    </row>
    <row r="10" spans="2:21" x14ac:dyDescent="0.25">
      <c r="B10" s="72"/>
      <c r="U10" s="73"/>
    </row>
    <row r="11" spans="2:21" x14ac:dyDescent="0.25">
      <c r="B11" s="72"/>
      <c r="C11" s="13" t="s">
        <v>19</v>
      </c>
      <c r="I11" s="142">
        <f>+'Pauschal-Methode'!I11</f>
        <v>2.9999999999999997E-4</v>
      </c>
      <c r="L11" s="13" t="s">
        <v>29</v>
      </c>
      <c r="P11" s="183" t="str">
        <f>+'Pauschal-Methode'!P11</f>
        <v>VW Passat</v>
      </c>
      <c r="Q11" s="184">
        <f>+'Pauschal-Methode'!Q11</f>
        <v>0</v>
      </c>
      <c r="R11" s="184">
        <f>+'Pauschal-Methode'!R11</f>
        <v>0</v>
      </c>
      <c r="S11" s="185">
        <f>+'Pauschal-Methode'!S11</f>
        <v>0</v>
      </c>
      <c r="U11" s="73"/>
    </row>
    <row r="12" spans="2:21" x14ac:dyDescent="0.25">
      <c r="B12" s="72"/>
      <c r="C12" s="13" t="s">
        <v>86</v>
      </c>
      <c r="I12" s="142">
        <f>+'Pauschal-Methode'!I12</f>
        <v>2.0000000000000002E-5</v>
      </c>
      <c r="L12" s="13" t="s">
        <v>30</v>
      </c>
      <c r="P12" s="180" t="str">
        <f>+'Pauschal-Methode'!P12</f>
        <v>WC OW-123</v>
      </c>
      <c r="Q12" s="181">
        <f>+'Pauschal-Methode'!Q12</f>
        <v>0</v>
      </c>
      <c r="R12" s="181">
        <f>+'Pauschal-Methode'!R12</f>
        <v>0</v>
      </c>
      <c r="S12" s="182">
        <f>+'Pauschal-Methode'!S12</f>
        <v>0</v>
      </c>
      <c r="U12" s="73"/>
    </row>
    <row r="13" spans="2:21" x14ac:dyDescent="0.25">
      <c r="B13" s="72"/>
      <c r="C13" s="13" t="s">
        <v>20</v>
      </c>
      <c r="I13" s="143">
        <f>+'Pauschal-Methode'!I13</f>
        <v>0.3</v>
      </c>
      <c r="U13" s="73"/>
    </row>
    <row r="14" spans="2:21" s="15" customFormat="1" hidden="1" x14ac:dyDescent="0.25">
      <c r="B14" s="16"/>
      <c r="C14" s="15" t="s">
        <v>36</v>
      </c>
      <c r="I14" s="140">
        <f>+'Pauschal-Methode'!I14</f>
        <v>0</v>
      </c>
      <c r="P14" s="17"/>
      <c r="Q14" s="17"/>
      <c r="R14" s="17"/>
      <c r="S14" s="60" t="s">
        <v>53</v>
      </c>
      <c r="U14" s="18"/>
    </row>
    <row r="15" spans="2:21" x14ac:dyDescent="0.25">
      <c r="B15" s="72"/>
      <c r="C15" s="13" t="s">
        <v>24</v>
      </c>
      <c r="I15" s="144">
        <f>+'Pauschal-Methode'!I15</f>
        <v>15</v>
      </c>
      <c r="L15" s="15" t="s">
        <v>52</v>
      </c>
      <c r="M15" s="15"/>
      <c r="N15" s="15"/>
      <c r="O15" s="15"/>
      <c r="P15" s="17"/>
      <c r="Q15" s="17"/>
      <c r="R15" s="17"/>
      <c r="S15" s="140">
        <f>+'Pauschal-Methode'!S15</f>
        <v>12</v>
      </c>
      <c r="U15" s="73"/>
    </row>
    <row r="16" spans="2:21" x14ac:dyDescent="0.25">
      <c r="B16" s="72"/>
      <c r="I16" s="74"/>
      <c r="U16" s="73"/>
    </row>
    <row r="17" spans="2:21" ht="6.75" customHeight="1" x14ac:dyDescent="0.25">
      <c r="B17" s="72"/>
      <c r="C17" s="138"/>
      <c r="D17" s="138"/>
      <c r="E17" s="138"/>
      <c r="F17" s="138"/>
      <c r="G17" s="138"/>
      <c r="H17" s="138"/>
      <c r="I17" s="138"/>
      <c r="J17" s="138"/>
      <c r="K17" s="138"/>
      <c r="L17" s="138"/>
      <c r="M17" s="138"/>
      <c r="N17" s="138"/>
      <c r="O17" s="138"/>
      <c r="P17" s="139"/>
      <c r="Q17" s="139"/>
      <c r="R17" s="139"/>
      <c r="S17" s="139"/>
      <c r="T17" s="138"/>
      <c r="U17" s="73"/>
    </row>
    <row r="18" spans="2:21" x14ac:dyDescent="0.25">
      <c r="B18" s="72"/>
      <c r="U18" s="73"/>
    </row>
    <row r="19" spans="2:21" x14ac:dyDescent="0.25">
      <c r="B19" s="72"/>
      <c r="C19" s="128" t="s">
        <v>35</v>
      </c>
      <c r="D19" s="129"/>
      <c r="E19" s="129"/>
      <c r="F19" s="129"/>
      <c r="G19" s="129"/>
      <c r="S19" s="100" t="s">
        <v>38</v>
      </c>
      <c r="U19" s="73"/>
    </row>
    <row r="20" spans="2:21" x14ac:dyDescent="0.25">
      <c r="B20" s="72"/>
      <c r="I20" s="96" t="s">
        <v>37</v>
      </c>
      <c r="M20" s="96" t="s">
        <v>38</v>
      </c>
      <c r="U20" s="73"/>
    </row>
    <row r="21" spans="2:21" x14ac:dyDescent="0.25">
      <c r="B21" s="72"/>
      <c r="C21" s="13" t="s">
        <v>39</v>
      </c>
      <c r="M21" s="99">
        <v>5000</v>
      </c>
      <c r="S21" s="145">
        <f>+IF(ISNUMBER(M21),M21,"")</f>
        <v>5000</v>
      </c>
      <c r="U21" s="73"/>
    </row>
    <row r="22" spans="2:21" x14ac:dyDescent="0.25">
      <c r="B22" s="72"/>
      <c r="C22" s="13" t="s">
        <v>58</v>
      </c>
      <c r="I22" s="71">
        <v>220</v>
      </c>
      <c r="M22" s="99">
        <v>10</v>
      </c>
      <c r="S22" s="146">
        <f>+IF(AND(ISNUMBER(I22),ISNUMBER(M22)),ROUND(I22*M22*2,0),"")</f>
        <v>4400</v>
      </c>
      <c r="U22" s="73"/>
    </row>
    <row r="23" spans="2:21" x14ac:dyDescent="0.25">
      <c r="B23" s="72"/>
      <c r="C23" s="13" t="s">
        <v>65</v>
      </c>
      <c r="I23" s="71">
        <f>IF(ISERROR('Pauschal-Methode'!I39*S15),"",'Pauschal-Methode'!I39*S15)</f>
        <v>48</v>
      </c>
      <c r="M23" s="145">
        <f>+'Pauschal-Methode'!P39</f>
        <v>198</v>
      </c>
      <c r="S23" s="146">
        <f>+IF(AND(ISNUMBER(I23),ISNUMBER(M23)),ROUND(I23*M23*2,0),"")</f>
        <v>19008</v>
      </c>
      <c r="U23" s="73"/>
    </row>
    <row r="24" spans="2:21" x14ac:dyDescent="0.25">
      <c r="B24" s="72"/>
      <c r="C24" s="13" t="s">
        <v>59</v>
      </c>
      <c r="M24" s="99">
        <v>10000</v>
      </c>
      <c r="S24" s="145">
        <f>+IF(ISNUMBER(M24),M24,"")</f>
        <v>10000</v>
      </c>
      <c r="U24" s="73"/>
    </row>
    <row r="25" spans="2:21" x14ac:dyDescent="0.25">
      <c r="B25" s="72"/>
      <c r="S25" s="97"/>
      <c r="U25" s="73"/>
    </row>
    <row r="26" spans="2:21" x14ac:dyDescent="0.25">
      <c r="B26" s="72"/>
      <c r="C26" s="10" t="s">
        <v>40</v>
      </c>
      <c r="S26" s="147">
        <f>+IF(AND(ISNUMBER(S21),ISNUMBER(S22),ISNUMBER(S23),ISNUMBER(S24)),SUM(S21:S24),"")</f>
        <v>38408</v>
      </c>
      <c r="U26" s="73"/>
    </row>
    <row r="27" spans="2:21" x14ac:dyDescent="0.25">
      <c r="B27" s="72"/>
      <c r="U27" s="73"/>
    </row>
    <row r="28" spans="2:21" x14ac:dyDescent="0.25">
      <c r="B28" s="72"/>
      <c r="C28" s="128" t="s">
        <v>66</v>
      </c>
      <c r="D28" s="129"/>
      <c r="E28" s="129"/>
      <c r="F28" s="129"/>
      <c r="G28" s="129"/>
      <c r="U28" s="73"/>
    </row>
    <row r="29" spans="2:21" x14ac:dyDescent="0.25">
      <c r="B29" s="72"/>
      <c r="M29" s="96" t="s">
        <v>41</v>
      </c>
      <c r="U29" s="73"/>
    </row>
    <row r="30" spans="2:21" x14ac:dyDescent="0.25">
      <c r="B30" s="72"/>
      <c r="C30" s="13" t="str">
        <f>"Kfz-Aufwendungen im Abrechnungs-Jahr "</f>
        <v xml:space="preserve">Kfz-Aufwendungen im Abrechnungs-Jahr </v>
      </c>
      <c r="M30" s="99">
        <v>5000</v>
      </c>
      <c r="S30" s="148">
        <f>+IF(ISNUMBER(M30),M30,"")</f>
        <v>5000</v>
      </c>
      <c r="U30" s="73"/>
    </row>
    <row r="31" spans="2:21" x14ac:dyDescent="0.25">
      <c r="B31" s="72"/>
      <c r="C31" s="13" t="s">
        <v>42</v>
      </c>
      <c r="M31" s="99">
        <v>5000</v>
      </c>
      <c r="S31" s="148">
        <f>+IF(ISNUMBER(M31),M31,"")</f>
        <v>5000</v>
      </c>
      <c r="U31" s="73"/>
    </row>
    <row r="32" spans="2:21" x14ac:dyDescent="0.25">
      <c r="B32" s="72"/>
      <c r="C32" s="13" t="s">
        <v>43</v>
      </c>
      <c r="M32" s="99">
        <v>0</v>
      </c>
      <c r="S32" s="148">
        <f>+IF(ISNUMBER(M32),M32,"")</f>
        <v>0</v>
      </c>
      <c r="U32" s="73"/>
    </row>
    <row r="33" spans="2:21" x14ac:dyDescent="0.25">
      <c r="B33" s="72"/>
      <c r="S33" s="97"/>
      <c r="U33" s="73"/>
    </row>
    <row r="34" spans="2:21" x14ac:dyDescent="0.25">
      <c r="B34" s="72"/>
      <c r="C34" s="10" t="s">
        <v>44</v>
      </c>
      <c r="S34" s="147">
        <f>+IF(AND(ISNUMBER(S30),ISNUMBER(S31),ISNUMBER(S32)),SUM(S30:S32),"")</f>
        <v>10000</v>
      </c>
      <c r="U34" s="73"/>
    </row>
    <row r="35" spans="2:21" x14ac:dyDescent="0.25">
      <c r="B35" s="72"/>
      <c r="C35" s="10" t="s">
        <v>45</v>
      </c>
      <c r="S35" s="149">
        <f>+IF(AND(ISNUMBER(S34),ISNUMBER(S26)),ROUND(S34/S26,2),"")</f>
        <v>0.26</v>
      </c>
      <c r="U35" s="73"/>
    </row>
    <row r="36" spans="2:21" x14ac:dyDescent="0.25">
      <c r="B36" s="72"/>
      <c r="U36" s="73"/>
    </row>
    <row r="37" spans="2:21" x14ac:dyDescent="0.25">
      <c r="B37" s="72"/>
      <c r="C37" s="128" t="s">
        <v>46</v>
      </c>
      <c r="D37" s="129"/>
      <c r="E37" s="129"/>
      <c r="F37" s="129"/>
      <c r="G37" s="129"/>
      <c r="H37" s="19"/>
      <c r="I37" s="19"/>
      <c r="J37" s="19"/>
      <c r="L37" s="75"/>
      <c r="M37" s="76"/>
      <c r="N37" s="76"/>
      <c r="O37" s="75"/>
      <c r="P37" s="77"/>
      <c r="Q37" s="77"/>
      <c r="R37" s="78"/>
      <c r="S37" s="77"/>
      <c r="T37" s="79"/>
      <c r="U37" s="73"/>
    </row>
    <row r="38" spans="2:21" x14ac:dyDescent="0.25">
      <c r="B38" s="72"/>
      <c r="L38" s="80"/>
      <c r="O38" s="80"/>
      <c r="P38" s="81">
        <v>0.15</v>
      </c>
      <c r="R38" s="82"/>
      <c r="S38" s="178" t="s">
        <v>16</v>
      </c>
      <c r="T38" s="83"/>
      <c r="U38" s="73"/>
    </row>
    <row r="39" spans="2:21" x14ac:dyDescent="0.25">
      <c r="B39" s="72"/>
      <c r="C39" s="13" t="s">
        <v>49</v>
      </c>
      <c r="L39" s="80"/>
      <c r="M39" s="150">
        <f>+M21</f>
        <v>5000</v>
      </c>
      <c r="O39" s="80"/>
      <c r="P39" s="84" t="s">
        <v>15</v>
      </c>
      <c r="R39" s="82"/>
      <c r="S39" s="179"/>
      <c r="T39" s="83"/>
      <c r="U39" s="73"/>
    </row>
    <row r="40" spans="2:21" x14ac:dyDescent="0.25">
      <c r="B40" s="72"/>
      <c r="C40" s="13" t="s">
        <v>45</v>
      </c>
      <c r="L40" s="80"/>
      <c r="M40" s="151">
        <f>+S35</f>
        <v>0.26</v>
      </c>
      <c r="O40" s="80"/>
      <c r="R40" s="82"/>
      <c r="T40" s="83"/>
      <c r="U40" s="73"/>
    </row>
    <row r="41" spans="2:21" x14ac:dyDescent="0.25">
      <c r="B41" s="72"/>
      <c r="C41" s="34" t="s">
        <v>50</v>
      </c>
      <c r="L41" s="80"/>
      <c r="M41" s="133">
        <f>+IF(AND(ISNUMBER(M39),ISNUMBER(M40)),ROUND(M39*M40,2),"")</f>
        <v>1300</v>
      </c>
      <c r="O41" s="80"/>
      <c r="R41" s="82"/>
      <c r="S41" s="74"/>
      <c r="T41" s="83"/>
      <c r="U41" s="73"/>
    </row>
    <row r="42" spans="2:21" x14ac:dyDescent="0.25">
      <c r="B42" s="72"/>
      <c r="C42" s="13" t="s">
        <v>67</v>
      </c>
      <c r="L42" s="80"/>
      <c r="M42" s="133">
        <f>IF('Pauschal-Methode'!I24*S15&gt;M41,M41,ROUND(S15*'Pauschal-Methode'!I24,2))</f>
        <v>0</v>
      </c>
      <c r="O42" s="80"/>
      <c r="R42" s="82"/>
      <c r="T42" s="83"/>
      <c r="U42" s="73"/>
    </row>
    <row r="43" spans="2:21" x14ac:dyDescent="0.25">
      <c r="B43" s="72"/>
      <c r="C43" s="34" t="s">
        <v>51</v>
      </c>
      <c r="D43" s="34"/>
      <c r="E43" s="34"/>
      <c r="F43" s="34"/>
      <c r="G43" s="34"/>
      <c r="H43" s="34"/>
      <c r="I43" s="64"/>
      <c r="J43" s="34"/>
      <c r="K43" s="34"/>
      <c r="L43" s="43"/>
      <c r="N43" s="34"/>
      <c r="O43" s="43"/>
      <c r="P43" s="44"/>
      <c r="Q43" s="44"/>
      <c r="R43" s="65"/>
      <c r="S43" s="135">
        <f>+IF(AND(ISNUMBER(M41),ISNUMBER(M42)),M41-M42,"")</f>
        <v>1300</v>
      </c>
      <c r="T43" s="83"/>
      <c r="U43" s="73"/>
    </row>
    <row r="44" spans="2:21" x14ac:dyDescent="0.25">
      <c r="B44" s="72"/>
      <c r="L44" s="80"/>
      <c r="O44" s="80"/>
      <c r="R44" s="82"/>
      <c r="T44" s="83"/>
      <c r="U44" s="73"/>
    </row>
    <row r="45" spans="2:21" x14ac:dyDescent="0.25">
      <c r="B45" s="72"/>
      <c r="C45" s="128" t="s">
        <v>47</v>
      </c>
      <c r="D45" s="132"/>
      <c r="E45" s="132"/>
      <c r="F45" s="132"/>
      <c r="G45" s="132"/>
      <c r="H45" s="20"/>
      <c r="I45" s="20"/>
      <c r="J45" s="20"/>
      <c r="L45" s="80"/>
      <c r="O45" s="80"/>
      <c r="R45" s="82"/>
      <c r="T45" s="83"/>
      <c r="U45" s="73"/>
    </row>
    <row r="46" spans="2:21" x14ac:dyDescent="0.25">
      <c r="B46" s="72"/>
      <c r="L46" s="80"/>
      <c r="O46" s="80"/>
      <c r="R46" s="82"/>
      <c r="T46" s="83"/>
      <c r="U46" s="73"/>
    </row>
    <row r="47" spans="2:21" x14ac:dyDescent="0.25">
      <c r="B47" s="72"/>
      <c r="C47" s="13" t="s">
        <v>48</v>
      </c>
      <c r="L47" s="80"/>
      <c r="M47" s="146">
        <f>+S22</f>
        <v>4400</v>
      </c>
      <c r="O47" s="80"/>
      <c r="R47" s="82"/>
      <c r="T47" s="83"/>
      <c r="U47" s="73"/>
    </row>
    <row r="48" spans="2:21" x14ac:dyDescent="0.25">
      <c r="B48" s="72"/>
      <c r="C48" s="13" t="s">
        <v>45</v>
      </c>
      <c r="L48" s="80"/>
      <c r="M48" s="151">
        <f>+M40</f>
        <v>0.26</v>
      </c>
      <c r="O48" s="80"/>
      <c r="R48" s="82"/>
      <c r="T48" s="83"/>
      <c r="U48" s="73"/>
    </row>
    <row r="49" spans="2:23" x14ac:dyDescent="0.25">
      <c r="B49" s="72"/>
      <c r="C49" s="34" t="s">
        <v>21</v>
      </c>
      <c r="L49" s="80"/>
      <c r="M49" s="147">
        <f>+IF(AND(ISNUMBER(M47),ISNUMBER(M48)),ROUND(M48*M47,2))</f>
        <v>1144</v>
      </c>
      <c r="O49" s="80"/>
      <c r="R49" s="82"/>
      <c r="T49" s="83"/>
      <c r="U49" s="73"/>
    </row>
    <row r="50" spans="2:23" x14ac:dyDescent="0.25">
      <c r="B50" s="72"/>
      <c r="C50" s="13" t="s">
        <v>55</v>
      </c>
      <c r="L50" s="80"/>
      <c r="M50" s="152">
        <f>+IF('Pauschal-Methode'!I24*S15&gt;M41+M49,M49,IF('Pauschal-Methode'!I24*S15&gt;M41,'Pauschal-Methode'!I24*Fahrtenbuchmethode!S15-Fahrtenbuchmethode!M42,0))</f>
        <v>0</v>
      </c>
      <c r="O50" s="80"/>
      <c r="R50" s="82"/>
      <c r="T50" s="83"/>
      <c r="U50" s="73"/>
    </row>
    <row r="51" spans="2:23" x14ac:dyDescent="0.25">
      <c r="B51" s="72"/>
      <c r="C51" s="10" t="s">
        <v>54</v>
      </c>
      <c r="L51" s="80"/>
      <c r="M51" s="133">
        <f>+M49-M50</f>
        <v>1144</v>
      </c>
      <c r="O51" s="80"/>
      <c r="R51" s="82"/>
      <c r="T51" s="83"/>
      <c r="U51" s="73"/>
    </row>
    <row r="52" spans="2:23" x14ac:dyDescent="0.25">
      <c r="B52" s="72"/>
      <c r="C52" s="13" t="s">
        <v>63</v>
      </c>
      <c r="E52" s="98"/>
      <c r="F52" s="13" t="s">
        <v>68</v>
      </c>
      <c r="I52" s="144">
        <f>+I22</f>
        <v>220</v>
      </c>
      <c r="L52" s="80"/>
      <c r="M52" s="133">
        <f>IF(ISNUMBER(I52),IF(ROUND(I52*(M22-I14)*I13,2)&gt;M51,M51,ROUND(I52*(M22-I14)*I13,2)))</f>
        <v>660</v>
      </c>
      <c r="O52" s="80"/>
      <c r="R52" s="82"/>
      <c r="T52" s="83"/>
      <c r="U52" s="73"/>
    </row>
    <row r="53" spans="2:23" x14ac:dyDescent="0.25">
      <c r="B53" s="72"/>
      <c r="I53" s="12"/>
      <c r="L53" s="80"/>
      <c r="O53" s="80"/>
      <c r="R53" s="82"/>
      <c r="T53" s="83"/>
      <c r="U53" s="73"/>
    </row>
    <row r="54" spans="2:23" x14ac:dyDescent="0.25">
      <c r="B54" s="72"/>
      <c r="C54" s="15" t="s">
        <v>22</v>
      </c>
      <c r="D54" s="15"/>
      <c r="E54" s="15"/>
      <c r="F54" s="15"/>
      <c r="G54" s="15"/>
      <c r="H54" s="15"/>
      <c r="I54" s="69" t="s">
        <v>23</v>
      </c>
      <c r="L54" s="80"/>
      <c r="O54" s="80"/>
      <c r="P54" s="14">
        <f>+IF(I54="Ja",ROUND(M52,2),"")</f>
        <v>660</v>
      </c>
      <c r="R54" s="82"/>
      <c r="T54" s="83"/>
      <c r="U54" s="73"/>
      <c r="W54" s="101" t="str">
        <f>+IF(I54='Pauschal-Methode'!I33,"","Andere Wahl bei 1%-Regelung")</f>
        <v/>
      </c>
    </row>
    <row r="55" spans="2:23" x14ac:dyDescent="0.25">
      <c r="B55" s="72"/>
      <c r="I55" s="12"/>
      <c r="L55" s="80"/>
      <c r="O55" s="80"/>
      <c r="R55" s="82"/>
      <c r="T55" s="83"/>
      <c r="U55" s="73"/>
    </row>
    <row r="56" spans="2:23" x14ac:dyDescent="0.25">
      <c r="B56" s="72"/>
      <c r="C56" s="34" t="s">
        <v>12</v>
      </c>
      <c r="L56" s="80"/>
      <c r="M56" s="133">
        <f>IF(I54="Ja",M51-M52,M51)</f>
        <v>484</v>
      </c>
      <c r="O56" s="80"/>
      <c r="R56" s="82"/>
      <c r="S56" s="133">
        <f>+M56</f>
        <v>484</v>
      </c>
      <c r="T56" s="83"/>
      <c r="U56" s="73"/>
    </row>
    <row r="57" spans="2:23" x14ac:dyDescent="0.25">
      <c r="B57" s="72"/>
      <c r="L57" s="80"/>
      <c r="O57" s="80"/>
      <c r="R57" s="82"/>
      <c r="T57" s="83"/>
      <c r="U57" s="73"/>
    </row>
    <row r="58" spans="2:23" x14ac:dyDescent="0.25">
      <c r="B58" s="72"/>
      <c r="C58" s="34"/>
      <c r="D58" s="34"/>
      <c r="E58" s="34"/>
      <c r="F58" s="34"/>
      <c r="G58" s="34"/>
      <c r="H58" s="34"/>
      <c r="I58" s="34"/>
      <c r="J58" s="34"/>
      <c r="K58" s="34"/>
      <c r="L58" s="43"/>
      <c r="N58" s="34"/>
      <c r="O58" s="43"/>
      <c r="P58" s="44"/>
      <c r="Q58" s="44"/>
      <c r="R58" s="65"/>
      <c r="S58" s="13"/>
      <c r="T58" s="83"/>
      <c r="U58" s="73"/>
    </row>
    <row r="59" spans="2:23" x14ac:dyDescent="0.25">
      <c r="B59" s="72"/>
      <c r="L59" s="85"/>
      <c r="M59" s="86"/>
      <c r="N59" s="86"/>
      <c r="O59" s="85"/>
      <c r="P59" s="87"/>
      <c r="Q59" s="87"/>
      <c r="R59" s="88"/>
      <c r="S59" s="87"/>
      <c r="T59" s="89"/>
      <c r="U59" s="73"/>
    </row>
    <row r="60" spans="2:23" x14ac:dyDescent="0.25">
      <c r="B60" s="72"/>
      <c r="C60" s="128" t="s">
        <v>33</v>
      </c>
      <c r="D60" s="132"/>
      <c r="E60" s="132"/>
      <c r="F60" s="132"/>
      <c r="G60" s="132"/>
      <c r="H60" s="20"/>
      <c r="I60" s="69" t="s">
        <v>23</v>
      </c>
      <c r="R60" s="78"/>
      <c r="S60" s="77"/>
      <c r="T60" s="79"/>
      <c r="U60" s="73"/>
      <c r="W60" s="101" t="str">
        <f>+IF(I60='Pauschal-Methode'!I37,"","Andere Wahl bei 1%-Regelung")</f>
        <v/>
      </c>
    </row>
    <row r="61" spans="2:23" x14ac:dyDescent="0.25">
      <c r="B61" s="72"/>
      <c r="I61" s="53" t="str">
        <f>+IF(AND($I$60="Nein",I62&lt;&gt;""),"Wert löschen","")</f>
        <v/>
      </c>
      <c r="J61" s="20"/>
      <c r="P61" s="53" t="str">
        <f>+IF(AND($I$60="Nein",P62&lt;&gt;""),"Wert löschen","")</f>
        <v/>
      </c>
      <c r="R61" s="82"/>
      <c r="T61" s="83"/>
      <c r="U61" s="73"/>
    </row>
    <row r="62" spans="2:23" x14ac:dyDescent="0.25">
      <c r="B62" s="72"/>
      <c r="C62" s="13" t="str">
        <f>+IF(I60="Ja","Doppelter Wohnsitz","Kein doppelter Wohnsitz")</f>
        <v>Doppelter Wohnsitz</v>
      </c>
      <c r="G62" s="90" t="str">
        <f>+IF(I60="Nein","","Anzahl Fahrten")</f>
        <v>Anzahl Fahrten</v>
      </c>
      <c r="I62" s="102">
        <f>+I23</f>
        <v>48</v>
      </c>
      <c r="L62" s="13" t="str">
        <f>IF(I60="Nein","","einfache km")</f>
        <v>einfache km</v>
      </c>
      <c r="P62" s="91">
        <f>+'Pauschal-Methode'!P39</f>
        <v>198</v>
      </c>
      <c r="R62" s="82"/>
      <c r="S62" s="135">
        <f>+IF(I60="Nein",0,IF(P62&gt;0,ROUND(P62*I62*S35*2,2),0))</f>
        <v>4942.08</v>
      </c>
      <c r="T62" s="83"/>
      <c r="U62" s="73"/>
    </row>
    <row r="63" spans="2:23" x14ac:dyDescent="0.25">
      <c r="B63" s="72"/>
      <c r="R63" s="82"/>
      <c r="T63" s="83"/>
      <c r="U63" s="73"/>
    </row>
    <row r="64" spans="2:23" x14ac:dyDescent="0.25">
      <c r="B64" s="72"/>
      <c r="C64" s="128" t="s">
        <v>25</v>
      </c>
      <c r="D64" s="132"/>
      <c r="E64" s="132"/>
      <c r="F64" s="132"/>
      <c r="G64" s="132"/>
      <c r="R64" s="82"/>
      <c r="T64" s="83"/>
      <c r="U64" s="73"/>
    </row>
    <row r="65" spans="2:21" x14ac:dyDescent="0.25">
      <c r="B65" s="72"/>
      <c r="R65" s="82"/>
      <c r="T65" s="83"/>
      <c r="U65" s="73"/>
    </row>
    <row r="66" spans="2:21" x14ac:dyDescent="0.25">
      <c r="B66" s="72"/>
      <c r="C66" s="34" t="str">
        <f>IF(ISERROR(IF(I9=1%,"Zurechnung zum Jahreslohn","Zurechnung zum Jahreslohn - 50 Prozent der Gesamtsumme")),"Zurechnung zum Jahreslohn",IF(I9=1%,"Zurechnung zum Jahreslohn","Zurechnung zum Jahreslohn - 50 Prozent der Gesamtsumme"))</f>
        <v>Zurechnung zum Jahreslohn</v>
      </c>
      <c r="D66" s="34"/>
      <c r="E66" s="34"/>
      <c r="F66" s="34"/>
      <c r="G66" s="34"/>
      <c r="H66" s="34"/>
      <c r="I66" s="34"/>
      <c r="J66" s="34"/>
      <c r="K66" s="34"/>
      <c r="L66" s="34"/>
      <c r="M66" s="34"/>
      <c r="N66" s="34"/>
      <c r="O66" s="34"/>
      <c r="P66" s="44"/>
      <c r="Q66" s="44"/>
      <c r="R66" s="65"/>
      <c r="S66" s="135">
        <f>ROUND(SUM(S62,S56,S43)*100*I9,2)</f>
        <v>6726.08</v>
      </c>
      <c r="T66" s="55"/>
      <c r="U66" s="73"/>
    </row>
    <row r="67" spans="2:21" x14ac:dyDescent="0.25">
      <c r="B67" s="72"/>
      <c r="R67" s="88"/>
      <c r="S67" s="87"/>
      <c r="T67" s="89"/>
      <c r="U67" s="73"/>
    </row>
    <row r="68" spans="2:21" x14ac:dyDescent="0.25">
      <c r="B68" s="72"/>
      <c r="C68" s="128" t="s">
        <v>76</v>
      </c>
      <c r="D68" s="132"/>
      <c r="E68" s="132"/>
      <c r="F68" s="132"/>
      <c r="G68" s="132"/>
      <c r="U68" s="73"/>
    </row>
    <row r="69" spans="2:21" x14ac:dyDescent="0.25">
      <c r="B69" s="72"/>
      <c r="U69" s="73"/>
    </row>
    <row r="70" spans="2:21" x14ac:dyDescent="0.25">
      <c r="B70" s="72"/>
      <c r="C70" s="10" t="s">
        <v>87</v>
      </c>
      <c r="D70" s="10"/>
      <c r="E70" s="10"/>
      <c r="F70" s="10"/>
      <c r="G70" s="10"/>
      <c r="H70" s="10"/>
      <c r="I70" s="10"/>
      <c r="J70" s="10"/>
      <c r="K70" s="10"/>
      <c r="L70" s="10"/>
      <c r="N70" s="10"/>
      <c r="O70" s="10"/>
      <c r="P70" s="11"/>
      <c r="Q70" s="11"/>
      <c r="R70" s="11"/>
      <c r="S70" s="137">
        <f>+'Pauschal-Methode'!S43*Fahrtenbuchmethode!S15</f>
        <v>16653.599999999999</v>
      </c>
      <c r="U70" s="73"/>
    </row>
    <row r="71" spans="2:21" x14ac:dyDescent="0.25">
      <c r="B71" s="72"/>
      <c r="C71" s="10" t="s">
        <v>56</v>
      </c>
      <c r="D71" s="10"/>
      <c r="E71" s="10"/>
      <c r="F71" s="10"/>
      <c r="G71" s="10"/>
      <c r="H71" s="10"/>
      <c r="I71" s="10"/>
      <c r="J71" s="10"/>
      <c r="K71" s="10"/>
      <c r="L71" s="10"/>
      <c r="N71" s="10"/>
      <c r="O71" s="10"/>
      <c r="P71" s="11"/>
      <c r="Q71" s="11"/>
      <c r="R71" s="11"/>
      <c r="S71" s="137">
        <f>+S66</f>
        <v>6726.08</v>
      </c>
      <c r="U71" s="73"/>
    </row>
    <row r="72" spans="2:21" x14ac:dyDescent="0.25">
      <c r="B72" s="72"/>
      <c r="C72" s="10"/>
      <c r="D72" s="10"/>
      <c r="E72" s="10"/>
      <c r="F72" s="10"/>
      <c r="G72" s="10"/>
      <c r="H72" s="10"/>
      <c r="I72" s="10"/>
      <c r="J72" s="10"/>
      <c r="K72" s="10"/>
      <c r="L72" s="10"/>
      <c r="N72" s="10"/>
      <c r="O72" s="10"/>
      <c r="P72" s="11"/>
      <c r="Q72" s="11"/>
      <c r="R72" s="11"/>
      <c r="S72" s="13"/>
      <c r="U72" s="73"/>
    </row>
    <row r="73" spans="2:21" x14ac:dyDescent="0.25">
      <c r="B73" s="72"/>
      <c r="C73" s="10" t="str">
        <f>IF(S70=S71,"Werte sind identisch",IF(S70&gt;S71,"Fahrtenbuchmethode ist günstiger","1%-Methode ist günstiger"))</f>
        <v>Fahrtenbuchmethode ist günstiger</v>
      </c>
      <c r="S73" s="137">
        <f>+IF(S70&gt;S71,S70-S71,S71-S70)</f>
        <v>9927.5199999999986</v>
      </c>
      <c r="U73" s="73"/>
    </row>
    <row r="74" spans="2:21" ht="13.8" thickBot="1" x14ac:dyDescent="0.3">
      <c r="B74" s="92"/>
      <c r="C74" s="93"/>
      <c r="D74" s="93"/>
      <c r="E74" s="93"/>
      <c r="F74" s="93"/>
      <c r="G74" s="93"/>
      <c r="H74" s="93"/>
      <c r="I74" s="93"/>
      <c r="J74" s="93"/>
      <c r="K74" s="93"/>
      <c r="L74" s="93"/>
      <c r="M74" s="93"/>
      <c r="N74" s="93"/>
      <c r="O74" s="93"/>
      <c r="P74" s="94"/>
      <c r="Q74" s="94"/>
      <c r="R74" s="94"/>
      <c r="S74" s="94"/>
      <c r="T74" s="93"/>
      <c r="U74" s="95"/>
    </row>
    <row r="76" spans="2:21" x14ac:dyDescent="0.25">
      <c r="C76" s="9" t="s">
        <v>88</v>
      </c>
      <c r="D76" s="3"/>
      <c r="E76" s="3"/>
      <c r="F76" s="3"/>
      <c r="G76" s="3"/>
      <c r="H76" s="3"/>
    </row>
    <row r="77" spans="2:21" x14ac:dyDescent="0.25">
      <c r="C77" s="9" t="s">
        <v>83</v>
      </c>
      <c r="D77" s="3"/>
      <c r="E77" s="3"/>
      <c r="F77" s="3"/>
      <c r="G77" s="3"/>
      <c r="H77" s="3"/>
    </row>
    <row r="78" spans="2:21" x14ac:dyDescent="0.25">
      <c r="C78" s="15" t="s">
        <v>84</v>
      </c>
      <c r="D78" s="3"/>
      <c r="E78" s="3"/>
      <c r="F78" s="3"/>
      <c r="G78" s="3"/>
      <c r="H78" s="3"/>
    </row>
    <row r="79" spans="2:21" x14ac:dyDescent="0.25">
      <c r="C79" s="3"/>
      <c r="D79" s="3"/>
      <c r="E79" s="3"/>
      <c r="F79" s="3"/>
      <c r="G79" s="3"/>
      <c r="H79" s="3"/>
    </row>
  </sheetData>
  <sheetProtection sheet="1" formatCells="0" selectLockedCells="1"/>
  <mergeCells count="6">
    <mergeCell ref="B2:U2"/>
    <mergeCell ref="S38:S39"/>
    <mergeCell ref="P12:S12"/>
    <mergeCell ref="P11:S11"/>
    <mergeCell ref="P6:S6"/>
    <mergeCell ref="L9:S9"/>
  </mergeCells>
  <phoneticPr fontId="0" type="noConversion"/>
  <conditionalFormatting sqref="I62">
    <cfRule type="expression" dxfId="2" priority="1" stopIfTrue="1">
      <formula>$I$60="Ja"</formula>
    </cfRule>
  </conditionalFormatting>
  <conditionalFormatting sqref="P54">
    <cfRule type="expression" dxfId="1" priority="3" stopIfTrue="1">
      <formula>$I$54="Ja"</formula>
    </cfRule>
  </conditionalFormatting>
  <conditionalFormatting sqref="P62">
    <cfRule type="expression" dxfId="0" priority="2" stopIfTrue="1">
      <formula>$I$60="Ja"</formula>
    </cfRule>
  </conditionalFormatting>
  <dataValidations count="11">
    <dataValidation type="list" allowBlank="1" showInputMessage="1" showErrorMessage="1" sqref="I54 I60" xr:uid="{00000000-0002-0000-0300-000000000000}">
      <formula1>"Ja,Nein"</formula1>
    </dataValidation>
    <dataValidation type="decimal" allowBlank="1" showErrorMessage="1" errorTitle="Anzahl Fahrten" error="Hier bitte die Anzahl Fahrten zwischen Wohnung bzw. Zweitwohnung und Arbeitsstätte eingeben." sqref="I22" xr:uid="{00000000-0002-0000-0300-000001000000}">
      <formula1>0</formula1>
      <formula2>366</formula2>
    </dataValidation>
    <dataValidation type="whole" allowBlank="1" showErrorMessage="1" errorTitle="Familienheimfahrten" error="Hier bitte die Anzahl der Familienheimfahrten bei doppelter Haushaltsführung (zwischen 0 und 52 Fahrten) eingeben." sqref="I23" xr:uid="{00000000-0002-0000-0300-000002000000}">
      <formula1>0</formula1>
      <formula2>52</formula2>
    </dataValidation>
    <dataValidation type="whole" allowBlank="1" showErrorMessage="1" errorTitle="Privatfahrten" error="Hier bitte die privat gefahrenen Kilometer eingeben." sqref="M21" xr:uid="{00000000-0002-0000-0300-000003000000}">
      <formula1>0</formula1>
      <formula2>100000</formula2>
    </dataValidation>
    <dataValidation type="whole" allowBlank="1" showErrorMessage="1" errorTitle="Entfernung eingeben" error="Hier bitte die Entfernungs-Kilometer zwischen Wohnung bzw. Zweitwohnung und Arbeitsstätte eingeben." sqref="M22" xr:uid="{00000000-0002-0000-0300-000004000000}">
      <formula1>0</formula1>
      <formula2>500</formula2>
    </dataValidation>
    <dataValidation type="whole" allowBlank="1" showErrorMessage="1" errorTitle="Enterfernung eingeben" error="Hier bitte bei doppelter Haushaltsführung die Entfernung in Kilometer zwischen Hauptwohnung und Arbeitsstätte eingeben." sqref="M23" xr:uid="{00000000-0002-0000-0300-000005000000}">
      <formula1>0</formula1>
      <formula2>2500</formula2>
    </dataValidation>
    <dataValidation type="whole" allowBlank="1" showErrorMessage="1" errorTitle="Dienstfahrten" error="Hier bitte die dienstlich gefahrenen Kilometer eingeben." sqref="M24" xr:uid="{00000000-0002-0000-0300-000006000000}">
      <formula1>0</formula1>
      <formula2>250000</formula2>
    </dataValidation>
    <dataValidation type="decimal" allowBlank="1" showErrorMessage="1" errorTitle="KfZ-Aufwand" error="Hier bitte den gesamten Kfz-Aufwand exklusive Abschreibung eingeben, der in Ihrem Nuzungszeitraum angefallen ist." sqref="M30" xr:uid="{00000000-0002-0000-0300-000007000000}">
      <formula1>0</formula1>
      <formula2>100000</formula2>
    </dataValidation>
    <dataValidation type="decimal" allowBlank="1" showErrorMessage="1" errorTitle="Abschreibung" error="Hier bitte die Abschreibung eingeben, die für Ihren Nutzungszeitraum gebucht wurde." sqref="M31" xr:uid="{00000000-0002-0000-0300-000008000000}">
      <formula1>0</formula1>
      <formula2>100000</formula2>
    </dataValidation>
    <dataValidation allowBlank="1" showErrorMessage="1" errorTitle="Sonstiger Aufwand" error="Hier bitte den sonstigen Aufwand eingeben, der separat aufgeführt werden soll." sqref="S34" xr:uid="{00000000-0002-0000-0300-000009000000}"/>
    <dataValidation type="decimal" allowBlank="1" showErrorMessage="1" errorTitle="Sonstige Kosten" error="Hier bitte sonstige Kosten eingeben, die separat aufgeführt werden sollen." sqref="M32" xr:uid="{00000000-0002-0000-0300-00000A000000}">
      <formula1>0</formula1>
      <formula2>100000</formula2>
    </dataValidation>
  </dataValidations>
  <printOptions horizontalCentered="1"/>
  <pageMargins left="0.59055118110236227" right="0.39370078740157483" top="0.59055118110236227" bottom="0.59055118110236227" header="0.51181102362204722" footer="0.51181102362204722"/>
  <pageSetup paperSize="9" scale="83"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f3c0c8-cb47-4a26-91a1-a44bb4539247" xsi:nil="true"/>
    <lcf76f155ced4ddcb4097134ff3c332f xmlns="bbb3f655-f267-4a84-b742-532fbc77d0a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9C0657C80C9EB42A8AE8AF1E32C18B5" ma:contentTypeVersion="18" ma:contentTypeDescription="Ein neues Dokument erstellen." ma:contentTypeScope="" ma:versionID="3e188bdc578f972c336e77c4d96323e4">
  <xsd:schema xmlns:xsd="http://www.w3.org/2001/XMLSchema" xmlns:xs="http://www.w3.org/2001/XMLSchema" xmlns:p="http://schemas.microsoft.com/office/2006/metadata/properties" xmlns:ns2="bbb3f655-f267-4a84-b742-532fbc77d0ab" xmlns:ns3="f5f3c0c8-cb47-4a26-91a1-a44bb4539247" targetNamespace="http://schemas.microsoft.com/office/2006/metadata/properties" ma:root="true" ma:fieldsID="56523d8b873b2219b7ed522b3fd85c68" ns2:_="" ns3:_="">
    <xsd:import namespace="bbb3f655-f267-4a84-b742-532fbc77d0ab"/>
    <xsd:import namespace="f5f3c0c8-cb47-4a26-91a1-a44bb45392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3f655-f267-4a84-b742-532fbc77d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4a64a0-82bc-48a6-9867-8208b236fb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3c0c8-cb47-4a26-91a1-a44bb453924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0bcdc34-3acf-42b1-abfa-b6ef944057a8}" ma:internalName="TaxCatchAll" ma:showField="CatchAllData" ma:web="f5f3c0c8-cb47-4a26-91a1-a44bb45392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8005BD-1625-4469-9B19-F74085B6E41A}">
  <ds:schemaRefs>
    <ds:schemaRef ds:uri="http://schemas.microsoft.com/office/2006/metadata/properties"/>
    <ds:schemaRef ds:uri="http://schemas.microsoft.com/office/infopath/2007/PartnerControls"/>
    <ds:schemaRef ds:uri="f5f3c0c8-cb47-4a26-91a1-a44bb4539247"/>
    <ds:schemaRef ds:uri="bbb3f655-f267-4a84-b742-532fbc77d0ab"/>
  </ds:schemaRefs>
</ds:datastoreItem>
</file>

<file path=customXml/itemProps2.xml><?xml version="1.0" encoding="utf-8"?>
<ds:datastoreItem xmlns:ds="http://schemas.openxmlformats.org/officeDocument/2006/customXml" ds:itemID="{28A2C858-0B79-4C2E-960E-1E5927DB6D1B}">
  <ds:schemaRefs>
    <ds:schemaRef ds:uri="http://schemas.microsoft.com/sharepoint/v3/contenttype/forms"/>
  </ds:schemaRefs>
</ds:datastoreItem>
</file>

<file path=customXml/itemProps3.xml><?xml version="1.0" encoding="utf-8"?>
<ds:datastoreItem xmlns:ds="http://schemas.openxmlformats.org/officeDocument/2006/customXml" ds:itemID="{78F06039-6AE8-4830-8186-CF66BE304B3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Stammdaten</vt:lpstr>
      <vt:lpstr>Hinweise</vt:lpstr>
      <vt:lpstr>Pauschal-Methode</vt:lpstr>
      <vt:lpstr>Fahrtenbuchmethode</vt:lpstr>
      <vt:lpstr>Fahrtenbuchmethode!Druckbereich</vt:lpstr>
      <vt:lpstr>Hinweise!Druckbereich</vt:lpstr>
      <vt:lpstr>'Pauschal-Methode'!Druckbereich</vt:lpstr>
      <vt:lpstr>Stammdaten!Druckbereich</vt:lpstr>
    </vt:vector>
  </TitlesOfParts>
  <Company>VNR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Kostenvergleich</dc:title>
  <dc:creator>Michael Konetzny</dc:creator>
  <cp:keywords>Kostenvergleich Tools</cp:keywords>
  <cp:lastModifiedBy>JSa - Johanna Schlamp-Ogawa</cp:lastModifiedBy>
  <cp:lastPrinted>2019-09-07T18:18:16Z</cp:lastPrinted>
  <dcterms:created xsi:type="dcterms:W3CDTF">2009-01-31T13:41:13Z</dcterms:created>
  <dcterms:modified xsi:type="dcterms:W3CDTF">2023-04-06T13:55:46Z</dcterms:modified>
  <cp:category>Tools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TRUE</vt:lpwstr>
  </property>
  <property fmtid="{D5CDD505-2E9C-101B-9397-08002B2CF9AE}" pid="3" name="Jet Reports Drill Button Active">
    <vt:bool>false</vt:bool>
  </property>
  <property fmtid="{D5CDD505-2E9C-101B-9397-08002B2CF9AE}" pid="4" name="OriginalName">
    <vt:lpwstr>Kostenvergleich_PEO.xls</vt:lpwstr>
  </property>
  <property fmtid="{D5CDD505-2E9C-101B-9397-08002B2CF9AE}" pid="5" name="Jet Reports Design Mode Active">
    <vt:bool>true</vt:bool>
  </property>
  <property fmtid="{D5CDD505-2E9C-101B-9397-08002B2CF9AE}" pid="6" name="ContentTypeId">
    <vt:lpwstr>0x010100E9C0657C80C9EB42A8AE8AF1E32C18B5</vt:lpwstr>
  </property>
  <property fmtid="{D5CDD505-2E9C-101B-9397-08002B2CF9AE}" pid="7" name="MediaServiceImageTags">
    <vt:lpwstr/>
  </property>
</Properties>
</file>