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_SyncStick\______02 - VNR Updates\__025 - Reisekosten\"/>
    </mc:Choice>
  </mc:AlternateContent>
  <xr:revisionPtr revIDLastSave="0" documentId="13_ncr:1_{0B40B87B-F173-41AD-B89A-605C8AF69265}" xr6:coauthVersionLast="47" xr6:coauthVersionMax="47" xr10:uidLastSave="{00000000-0000-0000-0000-000000000000}"/>
  <bookViews>
    <workbookView xWindow="1290" yWindow="285" windowWidth="25725" windowHeight="14745" tabRatio="611" xr2:uid="{00000000-000D-0000-FFFF-FFFF00000000}"/>
  </bookViews>
  <sheets>
    <sheet name="Startseite" sheetId="28" r:id="rId1"/>
    <sheet name="Eingaben" sheetId="27" r:id="rId2"/>
    <sheet name="Berechnung" sheetId="24" r:id="rId3"/>
    <sheet name="Beispiel" sheetId="31" r:id="rId4"/>
    <sheet name="Hilfe" sheetId="5" r:id="rId5"/>
    <sheet name="Stammdaten" sheetId="26" r:id="rId6"/>
    <sheet name="Pauschalen" sheetId="25" r:id="rId7"/>
    <sheet name="Parameter_Intern" sheetId="29" state="hidden" r:id="rId8"/>
    <sheet name="__Goal_Metadata" sheetId="32" state="veryHidden" r:id="rId9"/>
  </sheets>
  <definedNames>
    <definedName name="_KAW999929" hidden="1">__Goal_Metadata!$B$2</definedName>
    <definedName name="_KAW999934" hidden="1">__Goal_Metadata!$B$1</definedName>
    <definedName name="BeispielB2">Beispiel!$B$2</definedName>
    <definedName name="BerechnungB2">Berechnung!$B$2</definedName>
    <definedName name="_xlnm.Print_Area" localSheetId="3">Beispiel!$B$2:$N$51,Beispiel!$P$2:$AG$66</definedName>
    <definedName name="_xlnm.Print_Area" localSheetId="2">Berechnung!$B$2:$T$76</definedName>
    <definedName name="_xlnm.Print_Area" localSheetId="1">Eingaben!$B$2:$N$51</definedName>
    <definedName name="_xlnm.Print_Area" localSheetId="4">Hilfe!$B$3:$F$13</definedName>
    <definedName name="_xlnm.Print_Area" localSheetId="6">Pauschalen!$E$4:$M$230</definedName>
    <definedName name="_xlnm.Print_Area" localSheetId="5">Stammdaten!$B$3:$P$35,Stammdaten!$R$3:$W$35</definedName>
    <definedName name="_xlnm.Print_Area" localSheetId="0">Startseite!$B$2:$J$19</definedName>
    <definedName name="_xlnm.Print_Titles" localSheetId="6">Pauschalen!$4:$5</definedName>
    <definedName name="EingabenB2" localSheetId="3">Beispiel!$B$2</definedName>
    <definedName name="EingabenB2">Eingaben!$B$2</definedName>
    <definedName name="HilfeB3">Hilfe!$B$3</definedName>
    <definedName name="HinweiseB3">#REF!</definedName>
    <definedName name="PauschalenE4">Pauschalen!$E$4</definedName>
    <definedName name="StammdatenB3">Stammdaten!$B$3</definedName>
    <definedName name="StartG10">Startseite!$H$10</definedName>
    <definedName name="Startseite" localSheetId="0">Startseite!$B$5</definedName>
    <definedName name="Startseite">#REF!</definedName>
    <definedName name="StartseiteG10">#REF!</definedName>
  </definedNames>
  <calcPr calcId="191029"/>
</workbook>
</file>

<file path=xl/calcChain.xml><?xml version="1.0" encoding="utf-8"?>
<calcChain xmlns="http://schemas.openxmlformats.org/spreadsheetml/2006/main">
  <c r="E7" i="25" l="1"/>
  <c r="E8" i="25" s="1"/>
  <c r="E9" i="25" s="1"/>
  <c r="E10" i="25" s="1"/>
  <c r="E11" i="25" s="1"/>
  <c r="E12" i="25" s="1"/>
  <c r="E13" i="25" s="1"/>
  <c r="E14" i="25" s="1"/>
  <c r="E15" i="25" s="1"/>
  <c r="E16" i="25" s="1"/>
  <c r="E17" i="25" s="1"/>
  <c r="E18" i="25" s="1"/>
  <c r="E19" i="25" s="1"/>
  <c r="E20" i="25" s="1"/>
  <c r="E21" i="25" s="1"/>
  <c r="E22" i="25" s="1"/>
  <c r="E23" i="25" s="1"/>
  <c r="E24" i="25" s="1"/>
  <c r="E25" i="25" s="1"/>
  <c r="E26" i="25" s="1"/>
  <c r="E27" i="25" s="1"/>
  <c r="E28" i="25" s="1"/>
  <c r="E29" i="25" s="1"/>
  <c r="E30" i="25" s="1"/>
  <c r="E31" i="25" s="1"/>
  <c r="E32" i="25" s="1"/>
  <c r="E33" i="25" s="1"/>
  <c r="E34" i="25" s="1"/>
  <c r="E35" i="25" s="1"/>
  <c r="E36" i="25" s="1"/>
  <c r="E37" i="25" s="1"/>
  <c r="E38" i="25" s="1"/>
  <c r="E39" i="25" s="1"/>
  <c r="E40" i="25" s="1"/>
  <c r="E41" i="25" s="1"/>
  <c r="E42" i="25" s="1"/>
  <c r="E43" i="25" s="1"/>
  <c r="E44" i="25" s="1"/>
  <c r="E45" i="25" s="1"/>
  <c r="E46" i="25" s="1"/>
  <c r="E47" i="25" s="1"/>
  <c r="E48" i="25" s="1"/>
  <c r="E49" i="25" s="1"/>
  <c r="E50" i="25" s="1"/>
  <c r="E51" i="25" s="1"/>
  <c r="E52" i="25" s="1"/>
  <c r="E53" i="25" s="1"/>
  <c r="E54" i="25" s="1"/>
  <c r="E55" i="25" s="1"/>
  <c r="E56" i="25" s="1"/>
  <c r="E57" i="25" s="1"/>
  <c r="E58" i="25" s="1"/>
  <c r="E59" i="25" s="1"/>
  <c r="E60" i="25" s="1"/>
  <c r="E61" i="25" s="1"/>
  <c r="E62" i="25" s="1"/>
  <c r="E63" i="25" s="1"/>
  <c r="E64" i="25" s="1"/>
  <c r="E65" i="25" s="1"/>
  <c r="E66" i="25" s="1"/>
  <c r="E67" i="25" s="1"/>
  <c r="E68" i="25" s="1"/>
  <c r="E69" i="25" s="1"/>
  <c r="E70" i="25" s="1"/>
  <c r="E71" i="25" s="1"/>
  <c r="E72" i="25" s="1"/>
  <c r="E73" i="25" s="1"/>
  <c r="E74" i="25" s="1"/>
  <c r="E75" i="25" s="1"/>
  <c r="E76" i="25" s="1"/>
  <c r="E77" i="25" s="1"/>
  <c r="E78" i="25" s="1"/>
  <c r="E79" i="25" s="1"/>
  <c r="E80" i="25" s="1"/>
  <c r="E81" i="25" s="1"/>
  <c r="E82" i="25" s="1"/>
  <c r="E83" i="25" s="1"/>
  <c r="E84" i="25" s="1"/>
  <c r="E85" i="25" s="1"/>
  <c r="E86" i="25" s="1"/>
  <c r="E87" i="25" s="1"/>
  <c r="E88" i="25" s="1"/>
  <c r="E89" i="25" s="1"/>
  <c r="E90" i="25" s="1"/>
  <c r="E91" i="25" s="1"/>
  <c r="E92" i="25" s="1"/>
  <c r="E93" i="25" s="1"/>
  <c r="E94" i="25" s="1"/>
  <c r="E95" i="25" s="1"/>
  <c r="E96" i="25" s="1"/>
  <c r="E97" i="25" s="1"/>
  <c r="E98" i="25" s="1"/>
  <c r="E99" i="25" s="1"/>
  <c r="E100" i="25" s="1"/>
  <c r="E101" i="25" s="1"/>
  <c r="E102" i="25" s="1"/>
  <c r="E103" i="25" s="1"/>
  <c r="E104" i="25" s="1"/>
  <c r="E105" i="25" s="1"/>
  <c r="E106" i="25" s="1"/>
  <c r="E107" i="25" s="1"/>
  <c r="E108" i="25" s="1"/>
  <c r="E109" i="25" s="1"/>
  <c r="E110" i="25" s="1"/>
  <c r="E111" i="25" s="1"/>
  <c r="E112" i="25" s="1"/>
  <c r="E113" i="25" s="1"/>
  <c r="E114" i="25" s="1"/>
  <c r="E115" i="25" s="1"/>
  <c r="E116" i="25" s="1"/>
  <c r="E117" i="25" s="1"/>
  <c r="E118" i="25" s="1"/>
  <c r="E119" i="25" s="1"/>
  <c r="E120" i="25" s="1"/>
  <c r="E121" i="25" s="1"/>
  <c r="E122" i="25" s="1"/>
  <c r="E123" i="25" s="1"/>
  <c r="E124" i="25" s="1"/>
  <c r="E125" i="25" s="1"/>
  <c r="E126" i="25" s="1"/>
  <c r="E127" i="25" s="1"/>
  <c r="E128" i="25" s="1"/>
  <c r="E129" i="25" s="1"/>
  <c r="E130" i="25" s="1"/>
  <c r="E131" i="25" s="1"/>
  <c r="E132" i="25" s="1"/>
  <c r="E133" i="25" s="1"/>
  <c r="E134" i="25" s="1"/>
  <c r="E135" i="25" s="1"/>
  <c r="E136" i="25" s="1"/>
  <c r="E137" i="25" s="1"/>
  <c r="E138" i="25" s="1"/>
  <c r="E139" i="25" s="1"/>
  <c r="E140" i="25" s="1"/>
  <c r="E141" i="25" s="1"/>
  <c r="E142" i="25" s="1"/>
  <c r="E143" i="25" s="1"/>
  <c r="E144" i="25" s="1"/>
  <c r="E145" i="25" s="1"/>
  <c r="E146" i="25" s="1"/>
  <c r="E147" i="25" s="1"/>
  <c r="E148" i="25" s="1"/>
  <c r="E149" i="25" s="1"/>
  <c r="E150" i="25" s="1"/>
  <c r="E151" i="25" s="1"/>
  <c r="E152" i="25" s="1"/>
  <c r="E153" i="25" s="1"/>
  <c r="E154" i="25" s="1"/>
  <c r="E155" i="25" s="1"/>
  <c r="E156" i="25" s="1"/>
  <c r="E157" i="25" s="1"/>
  <c r="E158" i="25" s="1"/>
  <c r="E159" i="25" s="1"/>
  <c r="E160" i="25" s="1"/>
  <c r="E161" i="25" s="1"/>
  <c r="E162" i="25" s="1"/>
  <c r="E163" i="25" s="1"/>
  <c r="E164" i="25" s="1"/>
  <c r="E165" i="25" s="1"/>
  <c r="E166" i="25" s="1"/>
  <c r="E167" i="25" s="1"/>
  <c r="E168" i="25" s="1"/>
  <c r="E169" i="25" s="1"/>
  <c r="E170" i="25" s="1"/>
  <c r="E171" i="25" s="1"/>
  <c r="E172" i="25" s="1"/>
  <c r="E173" i="25" s="1"/>
  <c r="E174" i="25" s="1"/>
  <c r="E175" i="25" s="1"/>
  <c r="E176" i="25" s="1"/>
  <c r="E177" i="25" s="1"/>
  <c r="E178" i="25" s="1"/>
  <c r="E179" i="25" s="1"/>
  <c r="E180" i="25" s="1"/>
  <c r="E181" i="25" s="1"/>
  <c r="E182" i="25" s="1"/>
  <c r="E183" i="25" s="1"/>
  <c r="E184" i="25" s="1"/>
  <c r="E185" i="25" s="1"/>
  <c r="E186" i="25" s="1"/>
  <c r="E187" i="25" s="1"/>
  <c r="E188" i="25" s="1"/>
  <c r="E189" i="25" s="1"/>
  <c r="E190" i="25" s="1"/>
  <c r="E191" i="25" s="1"/>
  <c r="E192" i="25" s="1"/>
  <c r="E193" i="25" s="1"/>
  <c r="E194" i="25" s="1"/>
  <c r="E195" i="25" s="1"/>
  <c r="E196" i="25" s="1"/>
  <c r="E197" i="25" s="1"/>
  <c r="E198" i="25" s="1"/>
  <c r="E199" i="25" s="1"/>
  <c r="E200" i="25" s="1"/>
  <c r="E201" i="25" s="1"/>
  <c r="E202" i="25" s="1"/>
  <c r="E203" i="25" s="1"/>
  <c r="E204" i="25" s="1"/>
  <c r="E205" i="25" s="1"/>
  <c r="E206" i="25" s="1"/>
  <c r="E207" i="25" s="1"/>
  <c r="E208" i="25" s="1"/>
  <c r="E209" i="25" s="1"/>
  <c r="E210" i="25" s="1"/>
  <c r="E211" i="25" s="1"/>
  <c r="E212" i="25" s="1"/>
  <c r="E213" i="25" s="1"/>
  <c r="E214" i="25" s="1"/>
  <c r="E215" i="25" s="1"/>
  <c r="E216" i="25" s="1"/>
  <c r="E217" i="25" s="1"/>
  <c r="E218" i="25" s="1"/>
  <c r="E219" i="25" s="1"/>
  <c r="E220" i="25" s="1"/>
  <c r="E221" i="25" s="1"/>
  <c r="E222" i="25" s="1"/>
  <c r="E223" i="25" s="1"/>
  <c r="E224" i="25" s="1"/>
  <c r="E225" i="25" s="1"/>
  <c r="E226" i="25" s="1"/>
  <c r="E227" i="25" s="1"/>
  <c r="E228" i="25" s="1"/>
  <c r="E229" i="25" s="1"/>
  <c r="E230" i="25" s="1"/>
  <c r="J27" i="24" l="1"/>
  <c r="N27" i="24" s="1"/>
  <c r="H7" i="24"/>
  <c r="AC43" i="24" s="1"/>
  <c r="F6" i="24"/>
  <c r="AB38" i="24" s="1"/>
  <c r="F7" i="24"/>
  <c r="L12" i="24" s="1"/>
  <c r="H6" i="24"/>
  <c r="AD38" i="24" s="1"/>
  <c r="Z31" i="24"/>
  <c r="AA31" i="24" s="1"/>
  <c r="F13" i="24" s="1"/>
  <c r="AG38" i="24"/>
  <c r="S57" i="27"/>
  <c r="T77" i="27"/>
  <c r="T76" i="27"/>
  <c r="T75" i="27"/>
  <c r="T74" i="27"/>
  <c r="T73" i="27"/>
  <c r="T72" i="27"/>
  <c r="T71" i="27"/>
  <c r="T70" i="27"/>
  <c r="T69" i="27"/>
  <c r="T68" i="27"/>
  <c r="T67" i="27"/>
  <c r="T66" i="27"/>
  <c r="T65" i="27"/>
  <c r="T64" i="27"/>
  <c r="T63" i="27"/>
  <c r="T62" i="27"/>
  <c r="T61" i="27"/>
  <c r="T60" i="27"/>
  <c r="T59" i="27"/>
  <c r="T58" i="27"/>
  <c r="T57" i="27"/>
  <c r="T56" i="27"/>
  <c r="T55" i="27"/>
  <c r="T54" i="27"/>
  <c r="T53" i="27"/>
  <c r="T52" i="27"/>
  <c r="Z77" i="24"/>
  <c r="Z76" i="24"/>
  <c r="Z75" i="24"/>
  <c r="Z74" i="24"/>
  <c r="Z73" i="24"/>
  <c r="Z72" i="24"/>
  <c r="Z71" i="24"/>
  <c r="Z70" i="24"/>
  <c r="Z69" i="24"/>
  <c r="Z68" i="24"/>
  <c r="Z67" i="24"/>
  <c r="Z66" i="24"/>
  <c r="Z65" i="24"/>
  <c r="Z64" i="24"/>
  <c r="Z63" i="24"/>
  <c r="Z62" i="24"/>
  <c r="Z61" i="24"/>
  <c r="Z60" i="24"/>
  <c r="Z59" i="24"/>
  <c r="Z58" i="24"/>
  <c r="Z57" i="24"/>
  <c r="Z56" i="24"/>
  <c r="Z55" i="24"/>
  <c r="Z54" i="24"/>
  <c r="Z53" i="24"/>
  <c r="Z52" i="24"/>
  <c r="E15" i="24"/>
  <c r="J23" i="24"/>
  <c r="N23" i="24" s="1"/>
  <c r="J22" i="24"/>
  <c r="N22" i="24" s="1"/>
  <c r="L19" i="27"/>
  <c r="L22" i="24" s="1"/>
  <c r="V11" i="27"/>
  <c r="V10" i="27"/>
  <c r="U35" i="27"/>
  <c r="V47" i="27" s="1"/>
  <c r="W38" i="27"/>
  <c r="W43" i="27"/>
  <c r="O7" i="25"/>
  <c r="J55" i="24"/>
  <c r="N55" i="24" s="1"/>
  <c r="Z32" i="24"/>
  <c r="AA32" i="24" s="1"/>
  <c r="J32" i="24" s="1"/>
  <c r="J31" i="24"/>
  <c r="J21" i="24"/>
  <c r="N21" i="24" s="1"/>
  <c r="T29" i="31"/>
  <c r="U29" i="31" s="1"/>
  <c r="U31" i="31"/>
  <c r="U33" i="31"/>
  <c r="U32" i="31"/>
  <c r="U35" i="31"/>
  <c r="S54" i="31"/>
  <c r="S55" i="31"/>
  <c r="S56" i="31"/>
  <c r="S57" i="31"/>
  <c r="S58" i="31"/>
  <c r="S59" i="31"/>
  <c r="S60" i="31"/>
  <c r="S61" i="31"/>
  <c r="S62" i="31"/>
  <c r="S63" i="31"/>
  <c r="S64" i="31"/>
  <c r="S65" i="31"/>
  <c r="S66" i="31"/>
  <c r="S67" i="31"/>
  <c r="S68" i="31"/>
  <c r="S69" i="31"/>
  <c r="S70" i="31"/>
  <c r="S71" i="31"/>
  <c r="S72" i="31"/>
  <c r="S73" i="31"/>
  <c r="S74" i="31"/>
  <c r="S75" i="31"/>
  <c r="S76" i="31"/>
  <c r="S77" i="31"/>
  <c r="S78" i="31"/>
  <c r="S79" i="31"/>
  <c r="J56" i="24"/>
  <c r="N56" i="24" s="1"/>
  <c r="U32" i="27"/>
  <c r="L29" i="27" s="1"/>
  <c r="J63" i="24"/>
  <c r="N63" i="24" s="1"/>
  <c r="J62" i="24"/>
  <c r="N62" i="24" s="1"/>
  <c r="P62" i="24" s="1"/>
  <c r="J61" i="24"/>
  <c r="N61" i="24" s="1"/>
  <c r="J60" i="24"/>
  <c r="N60" i="24" s="1"/>
  <c r="J59" i="24"/>
  <c r="N59" i="24" s="1"/>
  <c r="J58" i="24"/>
  <c r="N58" i="24" s="1"/>
  <c r="J57" i="24"/>
  <c r="N57" i="24"/>
  <c r="P57" i="24" s="1"/>
  <c r="L18" i="27"/>
  <c r="L21" i="24" s="1"/>
  <c r="L6" i="24"/>
  <c r="L20" i="27"/>
  <c r="L23" i="24" s="1"/>
  <c r="U33" i="27"/>
  <c r="AA33" i="24"/>
  <c r="T29" i="27"/>
  <c r="U29" i="27" s="1"/>
  <c r="U31" i="27"/>
  <c r="G11" i="28"/>
  <c r="G13" i="26"/>
  <c r="S6" i="31" s="1"/>
  <c r="G14" i="26"/>
  <c r="C14" i="26" s="1"/>
  <c r="G15" i="26"/>
  <c r="S8" i="27" s="1"/>
  <c r="G16" i="26"/>
  <c r="S9" i="31" s="1"/>
  <c r="G17" i="26"/>
  <c r="S10" i="31" s="1"/>
  <c r="G18" i="26"/>
  <c r="S11" i="27" s="1"/>
  <c r="G19" i="26"/>
  <c r="S12" i="31" s="1"/>
  <c r="G20" i="26"/>
  <c r="S13" i="31" s="1"/>
  <c r="G21" i="26"/>
  <c r="S14" i="31" s="1"/>
  <c r="G22" i="26"/>
  <c r="C22" i="26" s="1"/>
  <c r="G23" i="26"/>
  <c r="S16" i="27" s="1"/>
  <c r="G24" i="26"/>
  <c r="S17" i="31" s="1"/>
  <c r="G25" i="26"/>
  <c r="S18" i="31" s="1"/>
  <c r="G26" i="26"/>
  <c r="S19" i="27" s="1"/>
  <c r="G27" i="26"/>
  <c r="S20" i="31" s="1"/>
  <c r="G28" i="26"/>
  <c r="S21" i="31" s="1"/>
  <c r="G29" i="26"/>
  <c r="S22" i="31" s="1"/>
  <c r="G30" i="26"/>
  <c r="C30" i="26" s="1"/>
  <c r="G31" i="26"/>
  <c r="S24" i="27" s="1"/>
  <c r="G32" i="26"/>
  <c r="S25" i="27" s="1"/>
  <c r="G33" i="26"/>
  <c r="S25" i="31" s="1"/>
  <c r="G34" i="26"/>
  <c r="S26" i="31" s="1"/>
  <c r="M11" i="28"/>
  <c r="N11" i="28"/>
  <c r="H17" i="28"/>
  <c r="D17" i="28" s="1"/>
  <c r="N67" i="24"/>
  <c r="H63" i="24"/>
  <c r="G63" i="24"/>
  <c r="F63" i="24"/>
  <c r="E63" i="24"/>
  <c r="D63" i="24"/>
  <c r="H62" i="24"/>
  <c r="G62" i="24"/>
  <c r="F62" i="24"/>
  <c r="E62" i="24"/>
  <c r="D62" i="24"/>
  <c r="H61" i="24"/>
  <c r="G61" i="24"/>
  <c r="F61" i="24"/>
  <c r="E61" i="24"/>
  <c r="D61" i="24"/>
  <c r="H60" i="24"/>
  <c r="G60" i="24"/>
  <c r="F60" i="24"/>
  <c r="E60" i="24"/>
  <c r="D60" i="24"/>
  <c r="H59" i="24"/>
  <c r="G59" i="24"/>
  <c r="F59" i="24"/>
  <c r="E59" i="24"/>
  <c r="D59" i="24"/>
  <c r="H58" i="24"/>
  <c r="G58" i="24"/>
  <c r="F58" i="24"/>
  <c r="E58" i="24"/>
  <c r="D58" i="24"/>
  <c r="H57" i="24"/>
  <c r="G57" i="24"/>
  <c r="F57" i="24"/>
  <c r="E57" i="24"/>
  <c r="D57" i="24"/>
  <c r="H56" i="24"/>
  <c r="G56" i="24"/>
  <c r="F56" i="24"/>
  <c r="E56" i="24"/>
  <c r="D56" i="24"/>
  <c r="H55" i="24"/>
  <c r="G55" i="24"/>
  <c r="F55" i="24"/>
  <c r="E55" i="24"/>
  <c r="D55" i="24"/>
  <c r="F4" i="24"/>
  <c r="J7" i="27"/>
  <c r="X43" i="27"/>
  <c r="X38" i="27"/>
  <c r="T38" i="27"/>
  <c r="U38" i="27"/>
  <c r="V38" i="27"/>
  <c r="T43" i="27"/>
  <c r="U43" i="27"/>
  <c r="V43" i="27"/>
  <c r="AA47" i="27"/>
  <c r="S52" i="27"/>
  <c r="L41" i="27" s="1"/>
  <c r="L56" i="24" s="1"/>
  <c r="S53" i="27"/>
  <c r="S54" i="27"/>
  <c r="S55" i="27"/>
  <c r="S56" i="27"/>
  <c r="S58" i="27"/>
  <c r="S59" i="27"/>
  <c r="S60" i="27"/>
  <c r="S61" i="27"/>
  <c r="S62" i="27"/>
  <c r="S63" i="27"/>
  <c r="S64" i="27"/>
  <c r="S65" i="27"/>
  <c r="S66" i="27"/>
  <c r="S67" i="27"/>
  <c r="S68" i="27"/>
  <c r="S69" i="27"/>
  <c r="S70" i="27"/>
  <c r="S71" i="27"/>
  <c r="S72" i="27"/>
  <c r="S73" i="27"/>
  <c r="S74" i="27"/>
  <c r="S75" i="27"/>
  <c r="S76" i="27"/>
  <c r="S77" i="27"/>
  <c r="Y53" i="24"/>
  <c r="Y54" i="24"/>
  <c r="Y55" i="24"/>
  <c r="Y56" i="24"/>
  <c r="Y57" i="24"/>
  <c r="Y58" i="24"/>
  <c r="Y59" i="24"/>
  <c r="Y60" i="24"/>
  <c r="Y61" i="24"/>
  <c r="Y62" i="24"/>
  <c r="Y63" i="24"/>
  <c r="Y64" i="24"/>
  <c r="Y65" i="24"/>
  <c r="Y66" i="24"/>
  <c r="Y67" i="24"/>
  <c r="Y68" i="24"/>
  <c r="Y69" i="24"/>
  <c r="Y70" i="24"/>
  <c r="Y71" i="24"/>
  <c r="Y72" i="24"/>
  <c r="Y73" i="24"/>
  <c r="Y74" i="24"/>
  <c r="Y75" i="24"/>
  <c r="Y76" i="24"/>
  <c r="Y77" i="24"/>
  <c r="Y52" i="24"/>
  <c r="Y21" i="24"/>
  <c r="Y12" i="24"/>
  <c r="Y14" i="24"/>
  <c r="Y16" i="24"/>
  <c r="S34" i="26"/>
  <c r="S33" i="26"/>
  <c r="S32" i="26"/>
  <c r="S31" i="26"/>
  <c r="S30" i="26"/>
  <c r="S29" i="26"/>
  <c r="S28" i="26"/>
  <c r="S27" i="26"/>
  <c r="S26" i="26"/>
  <c r="S25" i="26"/>
  <c r="S24" i="26"/>
  <c r="S23" i="26"/>
  <c r="S22" i="26"/>
  <c r="S10" i="26"/>
  <c r="S11" i="26" s="1"/>
  <c r="S12" i="26" s="1"/>
  <c r="O11" i="25"/>
  <c r="O8" i="25"/>
  <c r="O6" i="25"/>
  <c r="C27" i="26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1" i="25"/>
  <c r="O52" i="25"/>
  <c r="O53" i="25"/>
  <c r="O54" i="25"/>
  <c r="O55" i="25"/>
  <c r="O56" i="25"/>
  <c r="O57" i="25"/>
  <c r="O58" i="25"/>
  <c r="O59" i="25"/>
  <c r="O64" i="25"/>
  <c r="O65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94" i="25"/>
  <c r="O95" i="25"/>
  <c r="O96" i="25"/>
  <c r="O97" i="25"/>
  <c r="O98" i="25"/>
  <c r="O100" i="25"/>
  <c r="O101" i="25"/>
  <c r="O102" i="25"/>
  <c r="O103" i="25"/>
  <c r="O104" i="25"/>
  <c r="O105" i="25"/>
  <c r="O106" i="25"/>
  <c r="O107" i="25"/>
  <c r="O108" i="25"/>
  <c r="O110" i="25"/>
  <c r="O111" i="25"/>
  <c r="O112" i="25"/>
  <c r="O114" i="25"/>
  <c r="O115" i="25"/>
  <c r="O116" i="25"/>
  <c r="O117" i="25"/>
  <c r="O118" i="25"/>
  <c r="O119" i="25"/>
  <c r="O120" i="25"/>
  <c r="O121" i="25"/>
  <c r="O122" i="25"/>
  <c r="O123" i="25"/>
  <c r="O124" i="25"/>
  <c r="O125" i="25"/>
  <c r="O126" i="25"/>
  <c r="O127" i="25"/>
  <c r="O129" i="25"/>
  <c r="O130" i="25"/>
  <c r="O131" i="25"/>
  <c r="O132" i="25"/>
  <c r="O134" i="25"/>
  <c r="O135" i="25"/>
  <c r="O136" i="25"/>
  <c r="O137" i="25"/>
  <c r="O138" i="25"/>
  <c r="O140" i="25"/>
  <c r="O141" i="25"/>
  <c r="O142" i="25"/>
  <c r="O143" i="25"/>
  <c r="O145" i="25"/>
  <c r="O146" i="25"/>
  <c r="O147" i="25"/>
  <c r="O148" i="25"/>
  <c r="O149" i="25"/>
  <c r="O150" i="25"/>
  <c r="O151" i="25"/>
  <c r="O153" i="25"/>
  <c r="O154" i="25"/>
  <c r="O155" i="25"/>
  <c r="O156" i="25"/>
  <c r="O157" i="25"/>
  <c r="O158" i="25"/>
  <c r="O159" i="25"/>
  <c r="O160" i="25"/>
  <c r="O161" i="25"/>
  <c r="O162" i="25"/>
  <c r="O163" i="25"/>
  <c r="O165" i="25"/>
  <c r="O166" i="25"/>
  <c r="O167" i="25"/>
  <c r="O168" i="25"/>
  <c r="O169" i="25"/>
  <c r="O170" i="25"/>
  <c r="O175" i="25"/>
  <c r="O176" i="25"/>
  <c r="AG47" i="24"/>
  <c r="R57" i="24"/>
  <c r="C33" i="26"/>
  <c r="S26" i="27"/>
  <c r="Z38" i="24" l="1"/>
  <c r="L30" i="27"/>
  <c r="AG45" i="24"/>
  <c r="Y27" i="24"/>
  <c r="Y24" i="24"/>
  <c r="C29" i="26"/>
  <c r="Y8" i="24"/>
  <c r="AH51" i="24"/>
  <c r="AH52" i="24" s="1"/>
  <c r="Y20" i="24"/>
  <c r="S20" i="27"/>
  <c r="C31" i="26"/>
  <c r="C19" i="26"/>
  <c r="Y26" i="24"/>
  <c r="C20" i="26"/>
  <c r="Y9" i="24"/>
  <c r="S12" i="27"/>
  <c r="L46" i="27"/>
  <c r="L61" i="24" s="1"/>
  <c r="C13" i="26"/>
  <c r="C21" i="26"/>
  <c r="Y6" i="24"/>
  <c r="Y22" i="24"/>
  <c r="S18" i="27"/>
  <c r="S6" i="27"/>
  <c r="S24" i="31"/>
  <c r="C17" i="26"/>
  <c r="C25" i="26"/>
  <c r="C32" i="26"/>
  <c r="Y18" i="24"/>
  <c r="Y10" i="24"/>
  <c r="Y25" i="24"/>
  <c r="L40" i="27"/>
  <c r="L55" i="24" s="1"/>
  <c r="P55" i="24" s="1"/>
  <c r="R55" i="24" s="1"/>
  <c r="C34" i="26"/>
  <c r="S10" i="27"/>
  <c r="AA35" i="24"/>
  <c r="J42" i="24" s="1"/>
  <c r="F12" i="24"/>
  <c r="W39" i="27"/>
  <c r="W40" i="27" s="1"/>
  <c r="AA40" i="27" s="1"/>
  <c r="Z43" i="24"/>
  <c r="AA38" i="24"/>
  <c r="D33" i="27"/>
  <c r="P60" i="24"/>
  <c r="R60" i="24"/>
  <c r="M12" i="28"/>
  <c r="C16" i="26"/>
  <c r="C28" i="26"/>
  <c r="Y13" i="24"/>
  <c r="S17" i="27"/>
  <c r="S9" i="27"/>
  <c r="S13" i="26"/>
  <c r="S14" i="26" s="1"/>
  <c r="C24" i="26"/>
  <c r="Y17" i="24"/>
  <c r="L43" i="27"/>
  <c r="L58" i="24" s="1"/>
  <c r="S21" i="27"/>
  <c r="S13" i="27"/>
  <c r="J30" i="27"/>
  <c r="V49" i="27"/>
  <c r="AC38" i="24"/>
  <c r="AC39" i="24" s="1"/>
  <c r="H12" i="24"/>
  <c r="AA43" i="24"/>
  <c r="J7" i="24"/>
  <c r="AB43" i="24"/>
  <c r="V12" i="27"/>
  <c r="D8" i="27" s="1"/>
  <c r="R59" i="24"/>
  <c r="P59" i="24"/>
  <c r="S15" i="26"/>
  <c r="R58" i="24"/>
  <c r="P58" i="24"/>
  <c r="P63" i="24"/>
  <c r="R63" i="24"/>
  <c r="P61" i="24"/>
  <c r="R61" i="24"/>
  <c r="Y19" i="24"/>
  <c r="Y11" i="24"/>
  <c r="L48" i="27"/>
  <c r="L63" i="24" s="1"/>
  <c r="L45" i="27"/>
  <c r="L60" i="24" s="1"/>
  <c r="S15" i="27"/>
  <c r="S7" i="27"/>
  <c r="S16" i="31"/>
  <c r="S8" i="31"/>
  <c r="L42" i="27"/>
  <c r="L57" i="24" s="1"/>
  <c r="Y15" i="24"/>
  <c r="Y7" i="24"/>
  <c r="S22" i="27"/>
  <c r="S14" i="27"/>
  <c r="S23" i="31"/>
  <c r="C18" i="26"/>
  <c r="C26" i="26"/>
  <c r="Y23" i="24"/>
  <c r="S23" i="27"/>
  <c r="S19" i="31"/>
  <c r="S15" i="31"/>
  <c r="S11" i="31"/>
  <c r="S7" i="31"/>
  <c r="W44" i="27"/>
  <c r="W45" i="27" s="1"/>
  <c r="AA45" i="27" s="1"/>
  <c r="L44" i="27"/>
  <c r="L59" i="24" s="1"/>
  <c r="L47" i="27"/>
  <c r="L62" i="24" s="1"/>
  <c r="R62" i="24"/>
  <c r="C15" i="26"/>
  <c r="U5" i="27" s="1"/>
  <c r="J4" i="27" s="1"/>
  <c r="C23" i="26"/>
  <c r="V33" i="31"/>
  <c r="P56" i="24"/>
  <c r="R56" i="24" s="1"/>
  <c r="O12" i="24"/>
  <c r="AD43" i="24"/>
  <c r="AC44" i="24" s="1"/>
  <c r="AC45" i="24" s="1"/>
  <c r="P21" i="24"/>
  <c r="R21" i="24" s="1"/>
  <c r="P22" i="24"/>
  <c r="R22" i="24" s="1"/>
  <c r="P23" i="24"/>
  <c r="R23" i="24" s="1"/>
  <c r="J13" i="24"/>
  <c r="D29" i="27"/>
  <c r="V33" i="27"/>
  <c r="AB33" i="24" s="1"/>
  <c r="Z29" i="24"/>
  <c r="AA29" i="24" s="1"/>
  <c r="P27" i="24"/>
  <c r="R27" i="24" s="1"/>
  <c r="L32" i="24"/>
  <c r="N32" i="24" s="1"/>
  <c r="L28" i="27"/>
  <c r="L31" i="24"/>
  <c r="D32" i="24"/>
  <c r="AH53" i="24" l="1"/>
  <c r="L38" i="24" s="1"/>
  <c r="L37" i="24"/>
  <c r="S16" i="26"/>
  <c r="U5" i="31"/>
  <c r="AH38" i="24"/>
  <c r="AG40" i="24" s="1"/>
  <c r="AC40" i="24"/>
  <c r="AC49" i="24" s="1"/>
  <c r="AD49" i="24" s="1"/>
  <c r="AB47" i="24"/>
  <c r="AB49" i="24" s="1"/>
  <c r="D36" i="24" s="1"/>
  <c r="AA5" i="24"/>
  <c r="S17" i="26"/>
  <c r="S18" i="26" s="1"/>
  <c r="P32" i="24"/>
  <c r="P65" i="24" s="1"/>
  <c r="AH54" i="24" l="1"/>
  <c r="L47" i="24"/>
  <c r="L50" i="24" s="1"/>
  <c r="L36" i="24"/>
  <c r="H42" i="24"/>
  <c r="J44" i="24" s="1"/>
  <c r="J4" i="24"/>
  <c r="D11" i="24"/>
  <c r="L39" i="24"/>
  <c r="R32" i="24"/>
  <c r="L49" i="24" l="1"/>
  <c r="N39" i="24"/>
  <c r="R39" i="24" s="1"/>
  <c r="L48" i="24"/>
  <c r="H45" i="24"/>
  <c r="L42" i="24"/>
  <c r="H43" i="24"/>
  <c r="J43" i="24"/>
  <c r="J45" i="24"/>
  <c r="L41" i="24"/>
  <c r="J41" i="24"/>
  <c r="H44" i="24"/>
  <c r="L44" i="24" s="1"/>
  <c r="H41" i="24"/>
  <c r="L45" i="24" l="1"/>
  <c r="N50" i="24"/>
  <c r="R50" i="24" s="1"/>
  <c r="L43" i="24"/>
  <c r="N45" i="24" l="1"/>
  <c r="R45" i="24" s="1"/>
  <c r="R65" i="24" s="1"/>
  <c r="N65" i="24" l="1"/>
  <c r="N69" i="24" s="1"/>
  <c r="L69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Konetzny</author>
  </authors>
  <commentList>
    <comment ref="Y7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Michael Konetzny:</t>
        </r>
        <r>
          <rPr>
            <sz val="9"/>
            <color indexed="81"/>
            <rFont val="Tahoma"/>
            <family val="2"/>
          </rPr>
          <t xml:space="preserve">
Noch nicht aktiviert. Müsste eine Auswahlmöglichkeit im Eingabetabellenblatt geschaffen werden.</t>
        </r>
      </text>
    </comment>
  </commentList>
</comments>
</file>

<file path=xl/sharedStrings.xml><?xml version="1.0" encoding="utf-8"?>
<sst xmlns="http://schemas.openxmlformats.org/spreadsheetml/2006/main" count="529" uniqueCount="408">
  <si>
    <t>Jahr</t>
  </si>
  <si>
    <t>Vorname</t>
  </si>
  <si>
    <t>Name</t>
  </si>
  <si>
    <t>Allgemeine Hinweise</t>
  </si>
  <si>
    <t>Straße</t>
  </si>
  <si>
    <t>PLZ</t>
  </si>
  <si>
    <t>Monat</t>
  </si>
  <si>
    <t>Sonstiges</t>
  </si>
  <si>
    <t>Nr</t>
  </si>
  <si>
    <t>Land</t>
  </si>
  <si>
    <t>Land Englisch</t>
  </si>
  <si>
    <t>8 - 14 Std.</t>
  </si>
  <si>
    <t>ganzer Tag</t>
  </si>
  <si>
    <t>Abzug bei Frühstück</t>
  </si>
  <si>
    <t>Leer</t>
  </si>
  <si>
    <t>Deutschland</t>
  </si>
  <si>
    <t>Pauschalen - Komplette Liste</t>
  </si>
  <si>
    <t>Abzurechnende Mitarbeiter</t>
  </si>
  <si>
    <t>Listeneintrag</t>
  </si>
  <si>
    <t>KST</t>
  </si>
  <si>
    <t>Pers.-
Nr</t>
  </si>
  <si>
    <t>BLZ</t>
  </si>
  <si>
    <t>Bank</t>
  </si>
  <si>
    <t>Konto-Nr.</t>
  </si>
  <si>
    <t>Auswahl des Mitarbeiters druch</t>
  </si>
  <si>
    <t>Aus-
wahl</t>
  </si>
  <si>
    <t>Müller</t>
  </si>
  <si>
    <t>Hein-Otto</t>
  </si>
  <si>
    <t>Meier</t>
  </si>
  <si>
    <t>Otti</t>
  </si>
  <si>
    <t>0047114711</t>
  </si>
  <si>
    <t>123465678</t>
  </si>
  <si>
    <t>987654</t>
  </si>
  <si>
    <t>124578963</t>
  </si>
  <si>
    <t>1254896</t>
  </si>
  <si>
    <t>0006659985</t>
  </si>
  <si>
    <t>Bezeichnung - Deutsch -</t>
  </si>
  <si>
    <t>Bezeichnung - Englisch -</t>
  </si>
  <si>
    <t>Bewirtungskosten</t>
  </si>
  <si>
    <t>Entertainment</t>
  </si>
  <si>
    <t>Geschenke</t>
  </si>
  <si>
    <t>Gifts</t>
  </si>
  <si>
    <t>Kfz: Parkgebühren</t>
  </si>
  <si>
    <t>Automobile: Parking Fee</t>
  </si>
  <si>
    <t>Kfz: sonstige Kosten</t>
  </si>
  <si>
    <t>Automobile: Other Expenses</t>
  </si>
  <si>
    <t>Kfz: Treibstoff</t>
  </si>
  <si>
    <t>Automobile: Petrol</t>
  </si>
  <si>
    <t>Mietwagen</t>
  </si>
  <si>
    <t>Rental Car</t>
  </si>
  <si>
    <t>öffentliche Verkehrsmittel</t>
  </si>
  <si>
    <t>Public Transportation</t>
  </si>
  <si>
    <t>Taxi</t>
  </si>
  <si>
    <t>Telefon / Handy</t>
  </si>
  <si>
    <t>Telephone / Mobile Phone</t>
  </si>
  <si>
    <t>Nr.</t>
  </si>
  <si>
    <t>Belegarten</t>
  </si>
  <si>
    <t>Reisekosten - Stammdaten</t>
  </si>
  <si>
    <t>Mitarbeiter auswählen:</t>
  </si>
  <si>
    <t>Steinstraße 11</t>
  </si>
  <si>
    <t>Berliner Platz 11</t>
  </si>
  <si>
    <t>Mitarbeiter</t>
  </si>
  <si>
    <t>Beginn der Reise:</t>
  </si>
  <si>
    <t>um</t>
  </si>
  <si>
    <t>Beginn der Reise</t>
  </si>
  <si>
    <t>Ende der Reise</t>
  </si>
  <si>
    <t>Uhr</t>
  </si>
  <si>
    <t>Ende</t>
  </si>
  <si>
    <t>Fahrkosten</t>
  </si>
  <si>
    <t>Gefahrene km:</t>
  </si>
  <si>
    <t>Bahnfahrten (brutto)</t>
  </si>
  <si>
    <t>Flugkarten (brutto)</t>
  </si>
  <si>
    <t>Autokosten (brutto)</t>
  </si>
  <si>
    <t>Fahrten mit Privat-PKW</t>
  </si>
  <si>
    <t>Unterbringung</t>
  </si>
  <si>
    <t>Anzahl Übernachtungen</t>
  </si>
  <si>
    <t>Inklus. Frühstück</t>
  </si>
  <si>
    <t>Reiseziel</t>
  </si>
  <si>
    <t>Mit Pauschalen abrechnen</t>
  </si>
  <si>
    <t>Tag</t>
  </si>
  <si>
    <t>Anzahl Reisetage berechnen</t>
  </si>
  <si>
    <t>Erster Tag</t>
  </si>
  <si>
    <t>Stunde</t>
  </si>
  <si>
    <t>Minute</t>
  </si>
  <si>
    <t>Abwesenheit in vollen Stunden</t>
  </si>
  <si>
    <t>Letzter Tag</t>
  </si>
  <si>
    <t>Pauschalen für Verpflegungsmehraufwand</t>
  </si>
  <si>
    <t>Anzahl volle Reisetage</t>
  </si>
  <si>
    <t>Pauschale</t>
  </si>
  <si>
    <t>Datum</t>
  </si>
  <si>
    <t>Belegart</t>
  </si>
  <si>
    <t>Wert</t>
  </si>
  <si>
    <t>Reiseland:</t>
  </si>
  <si>
    <t>Reisezweck:</t>
  </si>
  <si>
    <t>Brutto</t>
  </si>
  <si>
    <t>Netto</t>
  </si>
  <si>
    <t>Abrechnung erstellt:</t>
  </si>
  <si>
    <t>Summen:</t>
  </si>
  <si>
    <t>./. Vorschüsse</t>
  </si>
  <si>
    <t>Buchungsvermerk:</t>
  </si>
  <si>
    <t>Unterschrift Reisender</t>
  </si>
  <si>
    <t>Unterschrift Vorgesetzter</t>
  </si>
  <si>
    <t>Sonderregelung bei 2tägiger Reise</t>
  </si>
  <si>
    <t xml:space="preserve">USt-Satz </t>
  </si>
  <si>
    <t>Pauschalen</t>
  </si>
  <si>
    <t>Belege</t>
  </si>
  <si>
    <t>ÜP</t>
  </si>
  <si>
    <t>Weitere Belege</t>
  </si>
  <si>
    <t>VSt</t>
  </si>
  <si>
    <t>USt</t>
  </si>
  <si>
    <t>ausdrücklich nur mit Genehmigung des Verlags gestattet.</t>
  </si>
  <si>
    <t>Mitarbeiter:</t>
  </si>
  <si>
    <t>Reisekostenrechner - Berechnung</t>
  </si>
  <si>
    <t>Hinweise zum Reisekostenrechner</t>
  </si>
  <si>
    <t>Startseite</t>
  </si>
  <si>
    <t>Tabellenblätter</t>
  </si>
  <si>
    <t>Tabellenblatt</t>
  </si>
  <si>
    <t>Info</t>
  </si>
  <si>
    <t>Die Vervielfältigung, Verbreitung oder Veräußerung der Daten oder Texte ist unzulässig und</t>
  </si>
  <si>
    <t>Hinweise</t>
  </si>
  <si>
    <t>Hyperlink</t>
  </si>
  <si>
    <t>Eingaben</t>
  </si>
  <si>
    <t>#Eingaben!E2</t>
  </si>
  <si>
    <t>Berechnung</t>
  </si>
  <si>
    <t>#Berechnung!B2</t>
  </si>
  <si>
    <t>Beispiel</t>
  </si>
  <si>
    <t>Hier finden Sie ein Beispiel für die Eingaben</t>
  </si>
  <si>
    <t>#Beispiel!B2</t>
  </si>
  <si>
    <t>Hilfe</t>
  </si>
  <si>
    <t>Hier finden Sie nähere Informationen über die Anwendung.</t>
  </si>
  <si>
    <t>#Hilfe!B3</t>
  </si>
  <si>
    <t>Hier geben Sie die Daten zur Erstellung der Reisekostenabrechnung ein</t>
  </si>
  <si>
    <t>In diesem Arbeitsblatt wird die Reisekostenabrechnung erstellt</t>
  </si>
  <si>
    <t>In diesem Arbeitsblatt pflegen Sie Mitarbeiter und Belegarten</t>
  </si>
  <si>
    <t>Hier können Sie die Reisekostenpauschalen einpflegen</t>
  </si>
  <si>
    <t>#Pauschalen!c2</t>
  </si>
  <si>
    <t>#Stammdaten!D12</t>
  </si>
  <si>
    <t>Stammdaten</t>
  </si>
  <si>
    <t>&lt;&lt; Startseite</t>
  </si>
  <si>
    <t>Hilfe?</t>
  </si>
  <si>
    <t>Mustermann</t>
  </si>
  <si>
    <t>Max</t>
  </si>
  <si>
    <t>Musterstraße 11</t>
  </si>
  <si>
    <t>Musterstadt</t>
  </si>
  <si>
    <t>Musterbank</t>
  </si>
  <si>
    <t>Frühstück Deutschland</t>
  </si>
  <si>
    <t>Pauschale Deutschland</t>
  </si>
  <si>
    <t>Übernachtungskosten</t>
  </si>
  <si>
    <t>USt bei Auslandsreisen:</t>
  </si>
  <si>
    <t>Angaben zu Fahrkosten</t>
  </si>
  <si>
    <t>_KAW999934</t>
  </si>
  <si>
    <t>J</t>
  </si>
  <si>
    <t>_KAW999929</t>
  </si>
  <si>
    <t>e97c26fe-fa5a-4769-94df-cc203eff761b</t>
  </si>
  <si>
    <t>Mehr als 8 Stunden</t>
  </si>
  <si>
    <t>Mahlzeitengestellung</t>
  </si>
  <si>
    <t>Frühstück</t>
  </si>
  <si>
    <t>Mittag</t>
  </si>
  <si>
    <t>Abend</t>
  </si>
  <si>
    <t>Zwischentag</t>
  </si>
  <si>
    <t>Rückreisetag</t>
  </si>
  <si>
    <t>Abzug Frühstück</t>
  </si>
  <si>
    <t>Abzug Mittag</t>
  </si>
  <si>
    <t>Abzug Abendessen</t>
  </si>
  <si>
    <t>Abzug Mittagessen</t>
  </si>
  <si>
    <t>Mahrzeitengestellung</t>
  </si>
  <si>
    <t>Abzug Abend</t>
  </si>
  <si>
    <t>Pauschale für  Zwischentage</t>
  </si>
  <si>
    <t>Pauschale für Zwischentage</t>
  </si>
  <si>
    <t>Pauschale für  Rückreise-Tag</t>
  </si>
  <si>
    <t>Dreimonatsfrist</t>
  </si>
  <si>
    <t>Jahr/Monat</t>
  </si>
  <si>
    <t>MwSt</t>
  </si>
  <si>
    <t>Taxi 7%</t>
  </si>
  <si>
    <t>,</t>
  </si>
  <si>
    <t>Taxi 19%</t>
  </si>
  <si>
    <t>Venezuela</t>
  </si>
  <si>
    <t>Vereinigte Arabische Emirate</t>
  </si>
  <si>
    <t>Australien - Canberra</t>
  </si>
  <si>
    <t>Australien - Sydney</t>
  </si>
  <si>
    <t xml:space="preserve">Italien - Rom </t>
  </si>
  <si>
    <t>Kanada - Ottawa</t>
  </si>
  <si>
    <t xml:space="preserve">Marshall Inseln </t>
  </si>
  <si>
    <t xml:space="preserve">USA - Washington, D. C. </t>
  </si>
  <si>
    <t>Stand: 2023-11-23</t>
  </si>
  <si>
    <t>Afghanistan</t>
  </si>
  <si>
    <t>Ägypten</t>
  </si>
  <si>
    <t>Äthiopien</t>
  </si>
  <si>
    <t>Äquatorialguinea</t>
  </si>
  <si>
    <t>Albanien</t>
  </si>
  <si>
    <t>Algerien</t>
  </si>
  <si>
    <t>Andorra</t>
  </si>
  <si>
    <t>Angola</t>
  </si>
  <si>
    <t>Argentinien</t>
  </si>
  <si>
    <t>Armenien</t>
  </si>
  <si>
    <t>Aserbaidschan</t>
  </si>
  <si>
    <t>Australien - im Übrigen</t>
  </si>
  <si>
    <t>Bahrain</t>
  </si>
  <si>
    <t>Bangladesch</t>
  </si>
  <si>
    <t>Barbados</t>
  </si>
  <si>
    <t>Belgien</t>
  </si>
  <si>
    <t>Benin</t>
  </si>
  <si>
    <t>Bhutan</t>
  </si>
  <si>
    <t>Bolivien</t>
  </si>
  <si>
    <t>Bosnien und Herzegowina</t>
  </si>
  <si>
    <t>Botsuana</t>
  </si>
  <si>
    <t>Brasilien - Brasilia</t>
  </si>
  <si>
    <t>Brasilien - Rio de Janeiro</t>
  </si>
  <si>
    <t>Brasilien - Sao Paulo</t>
  </si>
  <si>
    <t>Brasilien - im Übrigen</t>
  </si>
  <si>
    <t>Brunei</t>
  </si>
  <si>
    <t>Bulgarien</t>
  </si>
  <si>
    <t>Burkina Faso</t>
  </si>
  <si>
    <t>Burundi</t>
  </si>
  <si>
    <t>Chile</t>
  </si>
  <si>
    <t>China - Chengdu</t>
  </si>
  <si>
    <t>China - Hongkong</t>
  </si>
  <si>
    <t>China - Kanton</t>
  </si>
  <si>
    <t>China - Peking</t>
  </si>
  <si>
    <t>China - Shanghai</t>
  </si>
  <si>
    <t>China - im Übrigen</t>
  </si>
  <si>
    <t>Costa Rica</t>
  </si>
  <si>
    <t>Côte d’Ivoire</t>
  </si>
  <si>
    <t>Dänemark</t>
  </si>
  <si>
    <t>Dominikanische Republik</t>
  </si>
  <si>
    <t>Dschibuti</t>
  </si>
  <si>
    <t>Ecuador</t>
  </si>
  <si>
    <t>El Salvador</t>
  </si>
  <si>
    <t>Eritrea</t>
  </si>
  <si>
    <t>Estland</t>
  </si>
  <si>
    <t>Fidschi</t>
  </si>
  <si>
    <t>Finnland</t>
  </si>
  <si>
    <t>Frankreich - Paris, Dep. 77, 78, 91 bis 95</t>
  </si>
  <si>
    <t>Frankreich - im Übrigen</t>
  </si>
  <si>
    <t>Gabun</t>
  </si>
  <si>
    <t>Gambia</t>
  </si>
  <si>
    <t>Georgien</t>
  </si>
  <si>
    <t>Ghana</t>
  </si>
  <si>
    <t>Griechenland - Athen</t>
  </si>
  <si>
    <t>Griechenland - im Übrigen</t>
  </si>
  <si>
    <t>Guatemala</t>
  </si>
  <si>
    <t>Guinea</t>
  </si>
  <si>
    <t>Guinea-Bissau</t>
  </si>
  <si>
    <t>Haiti</t>
  </si>
  <si>
    <t>Honduras</t>
  </si>
  <si>
    <t>Indien - Bangalore</t>
  </si>
  <si>
    <t>Indien - Chennai</t>
  </si>
  <si>
    <t>Indien - Kalkutta</t>
  </si>
  <si>
    <t>Indien - Mumbai</t>
  </si>
  <si>
    <t>Indien - Neu Delhi</t>
  </si>
  <si>
    <t>Indien - im Übrigen</t>
  </si>
  <si>
    <t>Indonesien</t>
  </si>
  <si>
    <t>Iran</t>
  </si>
  <si>
    <t>Irland</t>
  </si>
  <si>
    <t>Island</t>
  </si>
  <si>
    <t>Israel</t>
  </si>
  <si>
    <t>Italien - Mailand</t>
  </si>
  <si>
    <t>Italien - im Übrigen</t>
  </si>
  <si>
    <t>Jamaika</t>
  </si>
  <si>
    <t>Japan - Tokio</t>
  </si>
  <si>
    <t>Japan - Osaka</t>
  </si>
  <si>
    <t>Japan - im Übrigen</t>
  </si>
  <si>
    <t>Jemen</t>
  </si>
  <si>
    <t>Jordanien</t>
  </si>
  <si>
    <t>Kambodscha</t>
  </si>
  <si>
    <t>Kamerun</t>
  </si>
  <si>
    <t>Kanada - Toronto</t>
  </si>
  <si>
    <t>Kanada - Vancouver</t>
  </si>
  <si>
    <t>Kanada - im Übrigen</t>
  </si>
  <si>
    <t>Kap Verde</t>
  </si>
  <si>
    <t>Kasachstan</t>
  </si>
  <si>
    <t>Katar</t>
  </si>
  <si>
    <t>Kenia</t>
  </si>
  <si>
    <t>Kirgisistan</t>
  </si>
  <si>
    <t>Kolumbien</t>
  </si>
  <si>
    <t>Kongo, Republik</t>
  </si>
  <si>
    <t>Kongo, Dem. Republik</t>
  </si>
  <si>
    <t>Korea, Dem. Volksrep.</t>
  </si>
  <si>
    <t>Korea, Republik</t>
  </si>
  <si>
    <t>Kosovo</t>
  </si>
  <si>
    <t>Kroatien</t>
  </si>
  <si>
    <t>Kuba</t>
  </si>
  <si>
    <t>Kuwait</t>
  </si>
  <si>
    <t>Laos</t>
  </si>
  <si>
    <t>Lesotho</t>
  </si>
  <si>
    <t>Lettland</t>
  </si>
  <si>
    <t>Libyen</t>
  </si>
  <si>
    <t>Libanon</t>
  </si>
  <si>
    <t>Liberia</t>
  </si>
  <si>
    <t>Liechtenstein</t>
  </si>
  <si>
    <t>Litauen</t>
  </si>
  <si>
    <t>Luxemburg</t>
  </si>
  <si>
    <t>Madagaskar</t>
  </si>
  <si>
    <t>Malawi</t>
  </si>
  <si>
    <t>Malaysia</t>
  </si>
  <si>
    <t>Malediven</t>
  </si>
  <si>
    <t>Mali</t>
  </si>
  <si>
    <t>Malta</t>
  </si>
  <si>
    <t>Marokko</t>
  </si>
  <si>
    <t>Mauretanien</t>
  </si>
  <si>
    <t>Mauritius</t>
  </si>
  <si>
    <t>Mexiko</t>
  </si>
  <si>
    <t>Moldau, Republik</t>
  </si>
  <si>
    <t>Monaco</t>
  </si>
  <si>
    <t>Mongolei</t>
  </si>
  <si>
    <t>Montenegro</t>
  </si>
  <si>
    <t>Mosambik</t>
  </si>
  <si>
    <t>Myanmar</t>
  </si>
  <si>
    <t>Namibia</t>
  </si>
  <si>
    <t>Nepal</t>
  </si>
  <si>
    <t>Neuseeland</t>
  </si>
  <si>
    <t>Nicaragua</t>
  </si>
  <si>
    <t>Niederlande</t>
  </si>
  <si>
    <t>Niger</t>
  </si>
  <si>
    <t>Nigeria</t>
  </si>
  <si>
    <t>Nordmazedonien</t>
  </si>
  <si>
    <t>Norwegen</t>
  </si>
  <si>
    <t>Österreich</t>
  </si>
  <si>
    <t>Oman</t>
  </si>
  <si>
    <t>Pakistan - Islamabad</t>
  </si>
  <si>
    <t>Pakistan - im Übrigen</t>
  </si>
  <si>
    <t>Palau</t>
  </si>
  <si>
    <t>Panama</t>
  </si>
  <si>
    <t>Papua-Neuguinea</t>
  </si>
  <si>
    <t>Paraguay</t>
  </si>
  <si>
    <t>Peru</t>
  </si>
  <si>
    <t>Philippinen</t>
  </si>
  <si>
    <t>Polen - Breslau</t>
  </si>
  <si>
    <t>Polen - Warschau</t>
  </si>
  <si>
    <t>Polen - im Übrigen</t>
  </si>
  <si>
    <t>Portugal</t>
  </si>
  <si>
    <t>Ruanda</t>
  </si>
  <si>
    <t>Rumänien - Bukarest</t>
  </si>
  <si>
    <t>Rumänien - im Übrigen</t>
  </si>
  <si>
    <t xml:space="preserve">Russland - Moskau </t>
  </si>
  <si>
    <t>Russland - St. Petersburg</t>
  </si>
  <si>
    <t>Russland - im Übrigen</t>
  </si>
  <si>
    <t>Sambia</t>
  </si>
  <si>
    <t>Samoa</t>
  </si>
  <si>
    <t>San Marino</t>
  </si>
  <si>
    <t>São Tomé – Príncipe</t>
  </si>
  <si>
    <t>Saudi-Arabien - Djidda</t>
  </si>
  <si>
    <t>Saudi-Arabien - Riad</t>
  </si>
  <si>
    <t>Saudi-Arabien - im Übrigen</t>
  </si>
  <si>
    <t>Schweden</t>
  </si>
  <si>
    <t>Schweiz - Genf</t>
  </si>
  <si>
    <t>Schweiz - im Übrigen</t>
  </si>
  <si>
    <t>Senegal</t>
  </si>
  <si>
    <t>Serbien</t>
  </si>
  <si>
    <t>Sierra Leone</t>
  </si>
  <si>
    <t>Simbabwe</t>
  </si>
  <si>
    <t>Singapur</t>
  </si>
  <si>
    <t>Slowakische Republik</t>
  </si>
  <si>
    <t>Slowenien</t>
  </si>
  <si>
    <t>Spanien - Barcelona</t>
  </si>
  <si>
    <t>Spanien - Kanarische Inseln</t>
  </si>
  <si>
    <t>Spanien - Madrid</t>
  </si>
  <si>
    <t>Spanien - Palma de Mallorca</t>
  </si>
  <si>
    <t>Spanien - im Übrigen</t>
  </si>
  <si>
    <t>Sri Lanka</t>
  </si>
  <si>
    <t>Sudan</t>
  </si>
  <si>
    <t>Südafrika - Kapstadt</t>
  </si>
  <si>
    <t>Südafrika - Johannesburg</t>
  </si>
  <si>
    <t>Südafrika - im Übrigen</t>
  </si>
  <si>
    <t>Südsudan</t>
  </si>
  <si>
    <t>Syrien</t>
  </si>
  <si>
    <t>Tadschikistan</t>
  </si>
  <si>
    <t>Taiwan</t>
  </si>
  <si>
    <t>Tansania</t>
  </si>
  <si>
    <t>Thailand</t>
  </si>
  <si>
    <t>Togo</t>
  </si>
  <si>
    <t>Tonga</t>
  </si>
  <si>
    <t>Trinidad und Tobago</t>
  </si>
  <si>
    <t>Tschad</t>
  </si>
  <si>
    <t>Tschechische Republik</t>
  </si>
  <si>
    <t>Türkei - Ankara</t>
  </si>
  <si>
    <t>Türkei - Izmir</t>
  </si>
  <si>
    <t>Türkei - im Übrigen</t>
  </si>
  <si>
    <t>Tunesien</t>
  </si>
  <si>
    <t>Turkmenistan</t>
  </si>
  <si>
    <t>Uganda</t>
  </si>
  <si>
    <t>Ukraine</t>
  </si>
  <si>
    <t>Ungarn</t>
  </si>
  <si>
    <t>Uruguay</t>
  </si>
  <si>
    <t>Usbekistan</t>
  </si>
  <si>
    <t>Vatikanstaat</t>
  </si>
  <si>
    <t>USA - Atlanta</t>
  </si>
  <si>
    <t>USA - Boston</t>
  </si>
  <si>
    <t>USA - Chicago</t>
  </si>
  <si>
    <t>USA - Houston</t>
  </si>
  <si>
    <t>USA - Los Angeles</t>
  </si>
  <si>
    <t>USA - Miami</t>
  </si>
  <si>
    <t>USA - New York City</t>
  </si>
  <si>
    <t>USA - San Francisco</t>
  </si>
  <si>
    <t>USA - im Übrigen</t>
  </si>
  <si>
    <t>GB - London</t>
  </si>
  <si>
    <t>GB - im Übrigen</t>
  </si>
  <si>
    <t>Vietnam</t>
  </si>
  <si>
    <t>Weißrussland</t>
  </si>
  <si>
    <t>Zentralafrikanische Republik</t>
  </si>
  <si>
    <t>Zypern</t>
  </si>
  <si>
    <t>Reisekostenrechner 2025</t>
  </si>
  <si>
    <t>© 2025 by mediaforwork - ein Unternehmensbereich der Verlag für die Deutsche Wirtschaft AG</t>
  </si>
  <si>
    <t>Reisekostenrechner 2025 - Eingaben</t>
  </si>
  <si>
    <t xml:space="preserve"> Reisekostenabrechnung 2025</t>
  </si>
  <si>
    <t>Reisekostenrechner 2025 - Hilfe</t>
  </si>
  <si>
    <t>Reisekosten 2025 - Stammdaten</t>
  </si>
  <si>
    <t>Pauschalen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</si>
</sst>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3"/>
      <color indexed="9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6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7" fillId="11" borderId="1" applyNumberFormat="0" applyAlignment="0" applyProtection="0"/>
    <xf numFmtId="0" fontId="8" fillId="11" borderId="2" applyNumberFormat="0" applyAlignment="0" applyProtection="0"/>
    <xf numFmtId="0" fontId="9" fillId="4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/>
    <xf numFmtId="0" fontId="6" fillId="13" borderId="4" applyNumberFormat="0" applyFont="0" applyAlignment="0" applyProtection="0"/>
    <xf numFmtId="9" fontId="1" fillId="0" borderId="0" applyFont="0" applyFill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4" fillId="14" borderId="9" applyNumberFormat="0" applyAlignment="0" applyProtection="0"/>
  </cellStyleXfs>
  <cellXfs count="290">
    <xf numFmtId="0" fontId="0" fillId="0" borderId="0" xfId="0"/>
    <xf numFmtId="0" fontId="0" fillId="15" borderId="10" xfId="0" applyFill="1" applyBorder="1" applyAlignment="1" applyProtection="1">
      <alignment horizontal="left" wrapText="1"/>
      <protection hidden="1"/>
    </xf>
    <xf numFmtId="0" fontId="0" fillId="16" borderId="0" xfId="0" applyFill="1" applyAlignment="1" applyProtection="1">
      <alignment horizontal="left" wrapText="1"/>
      <protection hidden="1"/>
    </xf>
    <xf numFmtId="0" fontId="0" fillId="0" borderId="0" xfId="0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2" fillId="0" borderId="24" xfId="0" applyFont="1" applyBorder="1" applyProtection="1">
      <protection hidden="1"/>
    </xf>
    <xf numFmtId="4" fontId="0" fillId="17" borderId="26" xfId="0" applyNumberFormat="1" applyFill="1" applyBorder="1" applyProtection="1">
      <protection hidden="1"/>
    </xf>
    <xf numFmtId="0" fontId="4" fillId="15" borderId="27" xfId="0" applyFont="1" applyFill="1" applyBorder="1" applyAlignment="1" applyProtection="1">
      <alignment wrapText="1"/>
      <protection hidden="1"/>
    </xf>
    <xf numFmtId="0" fontId="0" fillId="17" borderId="28" xfId="0" applyFill="1" applyBorder="1" applyProtection="1">
      <protection hidden="1"/>
    </xf>
    <xf numFmtId="0" fontId="0" fillId="17" borderId="26" xfId="0" applyFill="1" applyBorder="1" applyProtection="1">
      <protection hidden="1"/>
    </xf>
    <xf numFmtId="0" fontId="0" fillId="17" borderId="29" xfId="0" applyFill="1" applyBorder="1" applyProtection="1">
      <protection hidden="1"/>
    </xf>
    <xf numFmtId="0" fontId="0" fillId="0" borderId="30" xfId="0" applyBorder="1" applyAlignment="1" applyProtection="1">
      <alignment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15" borderId="0" xfId="0" applyFill="1" applyAlignment="1" applyProtection="1">
      <alignment horizontal="left" wrapText="1"/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35" xfId="0" applyBorder="1" applyProtection="1">
      <protection hidden="1"/>
    </xf>
    <xf numFmtId="0" fontId="0" fillId="17" borderId="19" xfId="0" applyFill="1" applyBorder="1" applyProtection="1">
      <protection hidden="1"/>
    </xf>
    <xf numFmtId="0" fontId="0" fillId="17" borderId="16" xfId="0" applyFill="1" applyBorder="1" applyProtection="1">
      <protection hidden="1"/>
    </xf>
    <xf numFmtId="0" fontId="0" fillId="17" borderId="21" xfId="0" applyFill="1" applyBorder="1" applyProtection="1">
      <protection hidden="1"/>
    </xf>
    <xf numFmtId="0" fontId="0" fillId="0" borderId="36" xfId="0" applyBorder="1" applyProtection="1">
      <protection hidden="1"/>
    </xf>
    <xf numFmtId="0" fontId="2" fillId="0" borderId="27" xfId="0" applyFont="1" applyBorder="1" applyProtection="1">
      <protection hidden="1"/>
    </xf>
    <xf numFmtId="0" fontId="0" fillId="0" borderId="37" xfId="0" applyBorder="1" applyProtection="1">
      <protection hidden="1"/>
    </xf>
    <xf numFmtId="4" fontId="0" fillId="0" borderId="37" xfId="0" applyNumberFormat="1" applyBorder="1" applyProtection="1">
      <protection hidden="1"/>
    </xf>
    <xf numFmtId="0" fontId="0" fillId="0" borderId="30" xfId="0" applyBorder="1" applyProtection="1">
      <protection hidden="1"/>
    </xf>
    <xf numFmtId="0" fontId="0" fillId="0" borderId="32" xfId="0" applyBorder="1" applyProtection="1"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3" fontId="0" fillId="0" borderId="32" xfId="0" applyNumberFormat="1" applyBorder="1" applyAlignment="1" applyProtection="1">
      <alignment horizontal="center"/>
      <protection hidden="1"/>
    </xf>
    <xf numFmtId="4" fontId="0" fillId="0" borderId="25" xfId="0" applyNumberFormat="1" applyBorder="1" applyProtection="1">
      <protection hidden="1"/>
    </xf>
    <xf numFmtId="164" fontId="0" fillId="0" borderId="0" xfId="0" applyNumberFormat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0" fillId="0" borderId="40" xfId="0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quotePrefix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20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0" fillId="0" borderId="26" xfId="0" applyNumberFormat="1" applyBorder="1" applyProtection="1">
      <protection locked="0"/>
    </xf>
    <xf numFmtId="20" fontId="0" fillId="0" borderId="26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4" fontId="0" fillId="0" borderId="26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4" fontId="0" fillId="0" borderId="16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36" xfId="0" applyNumberFormat="1" applyBorder="1" applyProtection="1"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41" xfId="0" applyFont="1" applyBorder="1" applyProtection="1">
      <protection hidden="1"/>
    </xf>
    <xf numFmtId="0" fontId="2" fillId="0" borderId="25" xfId="0" applyFont="1" applyBorder="1" applyProtection="1">
      <protection hidden="1"/>
    </xf>
    <xf numFmtId="4" fontId="0" fillId="17" borderId="37" xfId="0" applyNumberFormat="1" applyFill="1" applyBorder="1" applyProtection="1">
      <protection hidden="1"/>
    </xf>
    <xf numFmtId="164" fontId="0" fillId="0" borderId="42" xfId="0" applyNumberFormat="1" applyBorder="1" applyAlignment="1" applyProtection="1">
      <alignment horizontal="center"/>
      <protection locked="0"/>
    </xf>
    <xf numFmtId="164" fontId="0" fillId="0" borderId="43" xfId="0" applyNumberFormat="1" applyBorder="1" applyAlignment="1" applyProtection="1">
      <alignment horizontal="center"/>
      <protection locked="0"/>
    </xf>
    <xf numFmtId="164" fontId="0" fillId="0" borderId="20" xfId="0" applyNumberForma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49" fontId="0" fillId="0" borderId="28" xfId="0" applyNumberFormat="1" applyBorder="1" applyProtection="1">
      <protection locked="0"/>
    </xf>
    <xf numFmtId="0" fontId="0" fillId="0" borderId="44" xfId="0" applyBorder="1" applyProtection="1">
      <protection locked="0"/>
    </xf>
    <xf numFmtId="49" fontId="0" fillId="0" borderId="26" xfId="0" applyNumberFormat="1" applyBorder="1" applyProtection="1">
      <protection locked="0"/>
    </xf>
    <xf numFmtId="0" fontId="0" fillId="0" borderId="45" xfId="0" applyBorder="1" applyProtection="1">
      <protection locked="0"/>
    </xf>
    <xf numFmtId="49" fontId="0" fillId="0" borderId="29" xfId="0" applyNumberForma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20" xfId="0" applyBorder="1" applyProtection="1">
      <protection locked="0"/>
    </xf>
    <xf numFmtId="0" fontId="23" fillId="0" borderId="0" xfId="0" applyFont="1" applyProtection="1">
      <protection locked="0"/>
    </xf>
    <xf numFmtId="4" fontId="2" fillId="0" borderId="26" xfId="0" applyNumberFormat="1" applyFont="1" applyBorder="1" applyProtection="1">
      <protection locked="0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4" fontId="0" fillId="0" borderId="0" xfId="0" applyNumberFormat="1" applyProtection="1">
      <protection hidden="1"/>
    </xf>
    <xf numFmtId="0" fontId="0" fillId="0" borderId="52" xfId="0" applyBorder="1" applyProtection="1">
      <protection hidden="1"/>
    </xf>
    <xf numFmtId="0" fontId="0" fillId="0" borderId="53" xfId="0" applyBorder="1" applyProtection="1">
      <protection hidden="1"/>
    </xf>
    <xf numFmtId="0" fontId="0" fillId="0" borderId="53" xfId="0" applyBorder="1" applyAlignment="1" applyProtection="1">
      <alignment horizontal="center"/>
      <protection hidden="1"/>
    </xf>
    <xf numFmtId="4" fontId="0" fillId="0" borderId="53" xfId="0" applyNumberFormat="1" applyBorder="1" applyProtection="1">
      <protection hidden="1"/>
    </xf>
    <xf numFmtId="0" fontId="0" fillId="0" borderId="5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56" xfId="0" applyBorder="1" applyAlignment="1" applyProtection="1">
      <alignment horizontal="center"/>
      <protection hidden="1"/>
    </xf>
    <xf numFmtId="0" fontId="0" fillId="0" borderId="57" xfId="0" applyBorder="1" applyAlignment="1" applyProtection="1">
      <alignment horizontal="center"/>
      <protection hidden="1"/>
    </xf>
    <xf numFmtId="4" fontId="0" fillId="0" borderId="14" xfId="0" applyNumberFormat="1" applyBorder="1" applyProtection="1">
      <protection hidden="1"/>
    </xf>
    <xf numFmtId="0" fontId="0" fillId="0" borderId="58" xfId="0" applyBorder="1" applyProtection="1">
      <protection hidden="1"/>
    </xf>
    <xf numFmtId="10" fontId="0" fillId="0" borderId="26" xfId="0" applyNumberFormat="1" applyBorder="1" applyProtection="1">
      <protection locked="0"/>
    </xf>
    <xf numFmtId="10" fontId="23" fillId="0" borderId="0" xfId="16" applyNumberFormat="1" applyFont="1" applyBorder="1" applyProtection="1">
      <protection locked="0"/>
    </xf>
    <xf numFmtId="10" fontId="1" fillId="0" borderId="36" xfId="16" applyNumberFormat="1" applyFont="1" applyBorder="1" applyProtection="1">
      <protection locked="0"/>
    </xf>
    <xf numFmtId="10" fontId="1" fillId="0" borderId="16" xfId="16" applyNumberFormat="1" applyFont="1" applyBorder="1" applyProtection="1">
      <protection locked="0"/>
    </xf>
    <xf numFmtId="10" fontId="1" fillId="0" borderId="21" xfId="16" applyNumberFormat="1" applyFont="1" applyBorder="1" applyProtection="1">
      <protection locked="0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4" fontId="0" fillId="18" borderId="26" xfId="0" applyNumberFormat="1" applyFill="1" applyBorder="1" applyProtection="1">
      <protection locked="0"/>
    </xf>
    <xf numFmtId="0" fontId="25" fillId="19" borderId="24" xfId="0" applyFont="1" applyFill="1" applyBorder="1" applyAlignment="1" applyProtection="1">
      <alignment horizontal="left" vertical="center"/>
      <protection hidden="1"/>
    </xf>
    <xf numFmtId="0" fontId="25" fillId="19" borderId="25" xfId="0" applyFont="1" applyFill="1" applyBorder="1" applyAlignment="1" applyProtection="1">
      <alignment horizontal="left" vertical="center"/>
      <protection hidden="1"/>
    </xf>
    <xf numFmtId="0" fontId="0" fillId="18" borderId="26" xfId="0" applyFill="1" applyBorder="1" applyProtection="1">
      <protection locked="0"/>
    </xf>
    <xf numFmtId="0" fontId="0" fillId="18" borderId="26" xfId="0" applyFill="1" applyBorder="1" applyAlignment="1" applyProtection="1">
      <alignment horizontal="center"/>
      <protection locked="0"/>
    </xf>
    <xf numFmtId="4" fontId="0" fillId="18" borderId="26" xfId="0" applyNumberFormat="1" applyFill="1" applyBorder="1" applyProtection="1">
      <protection hidden="1"/>
    </xf>
    <xf numFmtId="164" fontId="0" fillId="18" borderId="42" xfId="0" applyNumberFormat="1" applyFill="1" applyBorder="1" applyAlignment="1" applyProtection="1">
      <alignment horizontal="center"/>
      <protection locked="0"/>
    </xf>
    <xf numFmtId="164" fontId="0" fillId="18" borderId="43" xfId="0" applyNumberFormat="1" applyFill="1" applyBorder="1" applyAlignment="1" applyProtection="1">
      <alignment horizontal="center"/>
      <protection locked="0"/>
    </xf>
    <xf numFmtId="164" fontId="0" fillId="18" borderId="20" xfId="0" applyNumberFormat="1" applyFill="1" applyBorder="1" applyAlignment="1" applyProtection="1">
      <alignment horizontal="center"/>
      <protection locked="0"/>
    </xf>
    <xf numFmtId="4" fontId="0" fillId="18" borderId="36" xfId="0" applyNumberFormat="1" applyFill="1" applyBorder="1" applyProtection="1">
      <protection locked="0"/>
    </xf>
    <xf numFmtId="4" fontId="0" fillId="18" borderId="16" xfId="0" applyNumberFormat="1" applyFill="1" applyBorder="1" applyProtection="1">
      <protection locked="0"/>
    </xf>
    <xf numFmtId="4" fontId="0" fillId="18" borderId="21" xfId="0" applyNumberFormat="1" applyFill="1" applyBorder="1" applyProtection="1">
      <protection locked="0"/>
    </xf>
    <xf numFmtId="10" fontId="1" fillId="18" borderId="36" xfId="16" applyNumberFormat="1" applyFont="1" applyFill="1" applyBorder="1" applyProtection="1">
      <protection locked="0"/>
    </xf>
    <xf numFmtId="10" fontId="1" fillId="18" borderId="16" xfId="16" applyNumberFormat="1" applyFont="1" applyFill="1" applyBorder="1" applyProtection="1">
      <protection locked="0"/>
    </xf>
    <xf numFmtId="10" fontId="1" fillId="18" borderId="21" xfId="16" applyNumberFormat="1" applyFont="1" applyFill="1" applyBorder="1" applyProtection="1">
      <protection locked="0"/>
    </xf>
    <xf numFmtId="4" fontId="2" fillId="18" borderId="26" xfId="0" applyNumberFormat="1" applyFont="1" applyFill="1" applyBorder="1" applyProtection="1">
      <protection locked="0"/>
    </xf>
    <xf numFmtId="4" fontId="0" fillId="18" borderId="37" xfId="0" applyNumberFormat="1" applyFill="1" applyBorder="1" applyProtection="1">
      <protection hidden="1"/>
    </xf>
    <xf numFmtId="4" fontId="2" fillId="18" borderId="26" xfId="0" applyNumberFormat="1" applyFont="1" applyFill="1" applyBorder="1" applyProtection="1">
      <protection hidden="1"/>
    </xf>
    <xf numFmtId="0" fontId="23" fillId="19" borderId="0" xfId="0" applyFont="1" applyFill="1" applyProtection="1">
      <protection hidden="1"/>
    </xf>
    <xf numFmtId="164" fontId="0" fillId="18" borderId="26" xfId="0" applyNumberFormat="1" applyFill="1" applyBorder="1" applyProtection="1">
      <protection locked="0"/>
    </xf>
    <xf numFmtId="20" fontId="0" fillId="18" borderId="26" xfId="0" applyNumberFormat="1" applyFill="1" applyBorder="1" applyProtection="1">
      <protection locked="0"/>
    </xf>
    <xf numFmtId="10" fontId="0" fillId="18" borderId="26" xfId="0" applyNumberFormat="1" applyFill="1" applyBorder="1" applyProtection="1">
      <protection locked="0"/>
    </xf>
    <xf numFmtId="0" fontId="4" fillId="19" borderId="59" xfId="0" applyFont="1" applyFill="1" applyBorder="1" applyAlignment="1" applyProtection="1">
      <alignment horizontal="left"/>
      <protection hidden="1"/>
    </xf>
    <xf numFmtId="0" fontId="4" fillId="19" borderId="60" xfId="0" applyFont="1" applyFill="1" applyBorder="1" applyAlignment="1" applyProtection="1">
      <alignment horizontal="left" wrapText="1"/>
      <protection hidden="1"/>
    </xf>
    <xf numFmtId="0" fontId="2" fillId="18" borderId="61" xfId="0" applyFont="1" applyFill="1" applyBorder="1" applyAlignment="1" applyProtection="1">
      <alignment horizontal="left" wrapText="1"/>
      <protection hidden="1"/>
    </xf>
    <xf numFmtId="0" fontId="2" fillId="18" borderId="53" xfId="0" applyFont="1" applyFill="1" applyBorder="1" applyAlignment="1" applyProtection="1">
      <alignment horizontal="left" wrapText="1"/>
      <protection hidden="1"/>
    </xf>
    <xf numFmtId="0" fontId="2" fillId="18" borderId="62" xfId="0" applyFont="1" applyFill="1" applyBorder="1" applyAlignment="1" applyProtection="1">
      <alignment horizontal="left" wrapText="1"/>
      <protection hidden="1"/>
    </xf>
    <xf numFmtId="0" fontId="2" fillId="18" borderId="63" xfId="0" applyFont="1" applyFill="1" applyBorder="1" applyAlignment="1" applyProtection="1">
      <alignment horizontal="left" wrapText="1"/>
      <protection hidden="1"/>
    </xf>
    <xf numFmtId="0" fontId="2" fillId="18" borderId="0" xfId="0" applyFont="1" applyFill="1" applyAlignment="1" applyProtection="1">
      <alignment horizontal="left" wrapText="1"/>
      <protection hidden="1"/>
    </xf>
    <xf numFmtId="0" fontId="2" fillId="18" borderId="12" xfId="0" applyFont="1" applyFill="1" applyBorder="1" applyAlignment="1" applyProtection="1">
      <alignment horizontal="left" wrapText="1"/>
      <protection hidden="1"/>
    </xf>
    <xf numFmtId="0" fontId="2" fillId="18" borderId="64" xfId="0" applyFont="1" applyFill="1" applyBorder="1" applyAlignment="1" applyProtection="1">
      <alignment horizontal="left" wrapText="1"/>
      <protection hidden="1"/>
    </xf>
    <xf numFmtId="0" fontId="2" fillId="18" borderId="14" xfId="0" applyFont="1" applyFill="1" applyBorder="1" applyAlignment="1" applyProtection="1">
      <alignment horizontal="left" wrapText="1"/>
      <protection hidden="1"/>
    </xf>
    <xf numFmtId="0" fontId="2" fillId="18" borderId="15" xfId="0" applyFont="1" applyFill="1" applyBorder="1" applyAlignment="1" applyProtection="1">
      <alignment horizontal="left" wrapText="1"/>
      <protection hidden="1"/>
    </xf>
    <xf numFmtId="0" fontId="0" fillId="18" borderId="0" xfId="0" applyFill="1" applyProtection="1">
      <protection hidden="1"/>
    </xf>
    <xf numFmtId="0" fontId="24" fillId="19" borderId="33" xfId="0" applyFont="1" applyFill="1" applyBorder="1" applyAlignment="1" applyProtection="1">
      <alignment horizontal="centerContinuous" vertical="center"/>
      <protection hidden="1"/>
    </xf>
    <xf numFmtId="0" fontId="24" fillId="19" borderId="34" xfId="0" applyFont="1" applyFill="1" applyBorder="1" applyAlignment="1" applyProtection="1">
      <alignment horizontal="centerContinuous" vertical="center"/>
      <protection hidden="1"/>
    </xf>
    <xf numFmtId="0" fontId="24" fillId="19" borderId="35" xfId="0" applyFont="1" applyFill="1" applyBorder="1" applyAlignment="1" applyProtection="1">
      <alignment horizontal="centerContinuous" vertical="center"/>
      <protection hidden="1"/>
    </xf>
    <xf numFmtId="0" fontId="2" fillId="0" borderId="34" xfId="0" applyFont="1" applyBorder="1" applyProtection="1">
      <protection hidden="1"/>
    </xf>
    <xf numFmtId="0" fontId="0" fillId="0" borderId="3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hidden="1"/>
    </xf>
    <xf numFmtId="0" fontId="0" fillId="0" borderId="30" xfId="0" applyBorder="1" applyAlignment="1" applyProtection="1">
      <alignment horizontal="center"/>
      <protection hidden="1"/>
    </xf>
    <xf numFmtId="0" fontId="2" fillId="20" borderId="10" xfId="0" applyFont="1" applyFill="1" applyBorder="1" applyProtection="1">
      <protection hidden="1"/>
    </xf>
    <xf numFmtId="0" fontId="2" fillId="0" borderId="10" xfId="0" applyFont="1" applyBorder="1" applyProtection="1">
      <protection hidden="1"/>
    </xf>
    <xf numFmtId="0" fontId="29" fillId="0" borderId="60" xfId="13" applyBorder="1" applyAlignment="1" applyProtection="1">
      <alignment horizontal="center" vertical="center"/>
      <protection hidden="1"/>
    </xf>
    <xf numFmtId="0" fontId="29" fillId="0" borderId="12" xfId="13" applyBorder="1" applyAlignment="1" applyProtection="1">
      <alignment horizontal="left"/>
      <protection hidden="1"/>
    </xf>
    <xf numFmtId="0" fontId="0" fillId="0" borderId="14" xfId="0" applyBorder="1"/>
    <xf numFmtId="0" fontId="3" fillId="0" borderId="0" xfId="0" applyFont="1" applyProtection="1">
      <protection hidden="1"/>
    </xf>
    <xf numFmtId="0" fontId="2" fillId="0" borderId="30" xfId="0" applyFont="1" applyBorder="1" applyProtection="1">
      <protection hidden="1"/>
    </xf>
    <xf numFmtId="0" fontId="2" fillId="0" borderId="31" xfId="0" applyFont="1" applyBorder="1" applyProtection="1">
      <protection hidden="1"/>
    </xf>
    <xf numFmtId="0" fontId="2" fillId="0" borderId="32" xfId="0" applyFont="1" applyBorder="1" applyProtection="1">
      <protection hidden="1"/>
    </xf>
    <xf numFmtId="0" fontId="0" fillId="0" borderId="43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45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39" xfId="0" applyBorder="1" applyProtection="1">
      <protection hidden="1"/>
    </xf>
    <xf numFmtId="0" fontId="29" fillId="0" borderId="0" xfId="13" applyAlignment="1" applyProtection="1">
      <protection hidden="1"/>
    </xf>
    <xf numFmtId="0" fontId="29" fillId="0" borderId="0" xfId="13" applyAlignment="1" applyProtection="1">
      <alignment horizontal="center"/>
      <protection hidden="1"/>
    </xf>
    <xf numFmtId="0" fontId="21" fillId="19" borderId="22" xfId="0" applyFont="1" applyFill="1" applyBorder="1" applyAlignment="1" applyProtection="1">
      <alignment horizontal="left" vertical="center"/>
      <protection hidden="1"/>
    </xf>
    <xf numFmtId="0" fontId="5" fillId="19" borderId="24" xfId="0" applyFont="1" applyFill="1" applyBorder="1" applyProtection="1">
      <protection hidden="1"/>
    </xf>
    <xf numFmtId="0" fontId="5" fillId="19" borderId="25" xfId="0" applyFont="1" applyFill="1" applyBorder="1" applyProtection="1">
      <protection hidden="1"/>
    </xf>
    <xf numFmtId="0" fontId="4" fillId="19" borderId="10" xfId="0" applyFont="1" applyFill="1" applyBorder="1" applyAlignment="1" applyProtection="1">
      <alignment horizontal="left"/>
      <protection hidden="1"/>
    </xf>
    <xf numFmtId="0" fontId="0" fillId="19" borderId="0" xfId="0" applyFill="1" applyProtection="1">
      <protection hidden="1"/>
    </xf>
    <xf numFmtId="0" fontId="4" fillId="19" borderId="30" xfId="0" applyFont="1" applyFill="1" applyBorder="1" applyAlignment="1" applyProtection="1">
      <alignment horizontal="center" vertical="center" wrapText="1"/>
      <protection hidden="1"/>
    </xf>
    <xf numFmtId="0" fontId="4" fillId="19" borderId="31" xfId="0" applyFont="1" applyFill="1" applyBorder="1" applyAlignment="1" applyProtection="1">
      <alignment vertical="center"/>
      <protection hidden="1"/>
    </xf>
    <xf numFmtId="0" fontId="4" fillId="19" borderId="32" xfId="0" applyFont="1" applyFill="1" applyBorder="1" applyAlignment="1" applyProtection="1">
      <alignment vertical="center"/>
      <protection hidden="1"/>
    </xf>
    <xf numFmtId="0" fontId="4" fillId="19" borderId="10" xfId="0" applyFont="1" applyFill="1" applyBorder="1" applyAlignment="1" applyProtection="1">
      <alignment horizontal="left" wrapText="1"/>
      <protection hidden="1"/>
    </xf>
    <xf numFmtId="0" fontId="4" fillId="19" borderId="10" xfId="0" applyFont="1" applyFill="1" applyBorder="1" applyAlignment="1" applyProtection="1">
      <alignment horizontal="center"/>
      <protection hidden="1"/>
    </xf>
    <xf numFmtId="0" fontId="4" fillId="19" borderId="60" xfId="0" applyFont="1" applyFill="1" applyBorder="1" applyAlignment="1" applyProtection="1">
      <alignment horizontal="center"/>
      <protection hidden="1"/>
    </xf>
    <xf numFmtId="0" fontId="5" fillId="19" borderId="60" xfId="0" applyFont="1" applyFill="1" applyBorder="1" applyProtection="1">
      <protection hidden="1"/>
    </xf>
    <xf numFmtId="4" fontId="29" fillId="0" borderId="0" xfId="13" applyNumberFormat="1" applyAlignment="1" applyProtection="1">
      <alignment horizontal="center"/>
      <protection hidden="1"/>
    </xf>
    <xf numFmtId="0" fontId="4" fillId="19" borderId="24" xfId="0" applyFont="1" applyFill="1" applyBorder="1" applyAlignment="1" applyProtection="1">
      <alignment horizontal="left"/>
      <protection hidden="1"/>
    </xf>
    <xf numFmtId="0" fontId="24" fillId="19" borderId="22" xfId="0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locked="0"/>
    </xf>
    <xf numFmtId="0" fontId="4" fillId="19" borderId="65" xfId="0" applyFont="1" applyFill="1" applyBorder="1" applyAlignment="1" applyProtection="1">
      <alignment horizontal="center" vertical="center"/>
      <protection hidden="1"/>
    </xf>
    <xf numFmtId="0" fontId="4" fillId="19" borderId="66" xfId="0" applyFont="1" applyFill="1" applyBorder="1" applyAlignment="1" applyProtection="1">
      <alignment vertical="center"/>
      <protection hidden="1"/>
    </xf>
    <xf numFmtId="4" fontId="4" fillId="19" borderId="66" xfId="0" applyNumberFormat="1" applyFont="1" applyFill="1" applyBorder="1" applyAlignment="1" applyProtection="1">
      <alignment vertical="center"/>
      <protection hidden="1"/>
    </xf>
    <xf numFmtId="4" fontId="4" fillId="19" borderId="6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1" xfId="0" applyBorder="1" applyAlignment="1" applyProtection="1">
      <alignment horizontal="center"/>
      <protection hidden="1"/>
    </xf>
    <xf numFmtId="4" fontId="23" fillId="0" borderId="0" xfId="0" applyNumberFormat="1" applyFont="1" applyProtection="1">
      <protection hidden="1"/>
    </xf>
    <xf numFmtId="10" fontId="23" fillId="18" borderId="26" xfId="16" applyNumberFormat="1" applyFont="1" applyFill="1" applyBorder="1" applyProtection="1">
      <protection locked="0"/>
    </xf>
    <xf numFmtId="4" fontId="0" fillId="0" borderId="0" xfId="0" applyNumberFormat="1" applyAlignment="1" applyProtection="1">
      <alignment horizontal="center"/>
      <protection hidden="1"/>
    </xf>
    <xf numFmtId="4" fontId="0" fillId="18" borderId="37" xfId="0" applyNumberFormat="1" applyFill="1" applyBorder="1" applyAlignment="1" applyProtection="1">
      <alignment horizontal="right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27" xfId="0" applyBorder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4" fontId="0" fillId="18" borderId="0" xfId="0" applyNumberFormat="1" applyFill="1" applyAlignment="1" applyProtection="1">
      <alignment horizontal="center"/>
      <protection hidden="1"/>
    </xf>
    <xf numFmtId="4" fontId="0" fillId="0" borderId="37" xfId="0" applyNumberFormat="1" applyBorder="1" applyAlignment="1" applyProtection="1">
      <alignment horizontal="righ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4" fontId="0" fillId="16" borderId="37" xfId="0" applyNumberFormat="1" applyFill="1" applyBorder="1" applyAlignment="1" applyProtection="1">
      <alignment horizontal="right"/>
      <protection hidden="1"/>
    </xf>
    <xf numFmtId="4" fontId="0" fillId="16" borderId="37" xfId="0" applyNumberFormat="1" applyFill="1" applyBorder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164" fontId="0" fillId="0" borderId="0" xfId="0" applyNumberFormat="1" applyAlignment="1" applyProtection="1">
      <alignment horizontal="centerContinuous"/>
      <protection hidden="1"/>
    </xf>
    <xf numFmtId="20" fontId="0" fillId="0" borderId="0" xfId="0" applyNumberFormat="1" applyAlignment="1" applyProtection="1">
      <alignment horizontal="centerContinuous"/>
      <protection hidden="1"/>
    </xf>
    <xf numFmtId="4" fontId="4" fillId="19" borderId="67" xfId="0" applyNumberFormat="1" applyFont="1" applyFill="1" applyBorder="1" applyAlignment="1" applyProtection="1">
      <alignment horizontal="center" vertical="center"/>
      <protection hidden="1"/>
    </xf>
    <xf numFmtId="2" fontId="0" fillId="21" borderId="0" xfId="0" applyNumberFormat="1" applyFill="1" applyProtection="1">
      <protection hidden="1"/>
    </xf>
    <xf numFmtId="0" fontId="0" fillId="21" borderId="0" xfId="0" applyFill="1" applyProtection="1">
      <protection hidden="1"/>
    </xf>
    <xf numFmtId="4" fontId="0" fillId="21" borderId="25" xfId="0" applyNumberFormat="1" applyFill="1" applyBorder="1" applyProtection="1">
      <protection hidden="1"/>
    </xf>
    <xf numFmtId="0" fontId="0" fillId="21" borderId="27" xfId="0" applyFill="1" applyBorder="1" applyProtection="1">
      <protection hidden="1"/>
    </xf>
    <xf numFmtId="10" fontId="0" fillId="0" borderId="44" xfId="0" applyNumberFormat="1" applyBorder="1" applyProtection="1">
      <protection locked="0"/>
    </xf>
    <xf numFmtId="10" fontId="0" fillId="0" borderId="45" xfId="0" applyNumberFormat="1" applyBorder="1" applyProtection="1">
      <protection locked="0"/>
    </xf>
    <xf numFmtId="10" fontId="0" fillId="0" borderId="39" xfId="0" applyNumberFormat="1" applyBorder="1" applyProtection="1">
      <protection locked="0"/>
    </xf>
    <xf numFmtId="10" fontId="2" fillId="0" borderId="27" xfId="0" applyNumberFormat="1" applyFont="1" applyBorder="1" applyProtection="1">
      <protection hidden="1"/>
    </xf>
    <xf numFmtId="10" fontId="0" fillId="0" borderId="19" xfId="0" applyNumberFormat="1" applyBorder="1" applyProtection="1">
      <protection hidden="1"/>
    </xf>
    <xf numFmtId="10" fontId="0" fillId="0" borderId="16" xfId="0" applyNumberFormat="1" applyBorder="1" applyProtection="1">
      <protection hidden="1"/>
    </xf>
    <xf numFmtId="10" fontId="0" fillId="0" borderId="21" xfId="0" applyNumberFormat="1" applyBorder="1" applyProtection="1">
      <protection hidden="1"/>
    </xf>
    <xf numFmtId="4" fontId="35" fillId="0" borderId="74" xfId="0" applyNumberFormat="1" applyFont="1" applyBorder="1" applyAlignment="1">
      <alignment horizontal="right" vertical="top" shrinkToFit="1"/>
    </xf>
    <xf numFmtId="4" fontId="35" fillId="0" borderId="74" xfId="0" applyNumberFormat="1" applyFont="1" applyBorder="1" applyAlignment="1">
      <alignment vertical="top" shrinkToFit="1"/>
    </xf>
    <xf numFmtId="4" fontId="35" fillId="0" borderId="75" xfId="0" applyNumberFormat="1" applyFont="1" applyBorder="1" applyAlignment="1">
      <alignment horizontal="right" vertical="top" shrinkToFit="1"/>
    </xf>
    <xf numFmtId="4" fontId="35" fillId="0" borderId="76" xfId="0" applyNumberFormat="1" applyFont="1" applyBorder="1" applyAlignment="1">
      <alignment horizontal="right" vertical="top" shrinkToFit="1"/>
    </xf>
    <xf numFmtId="4" fontId="35" fillId="0" borderId="76" xfId="0" applyNumberFormat="1" applyFont="1" applyBorder="1" applyAlignment="1">
      <alignment vertical="top" shrinkToFit="1"/>
    </xf>
    <xf numFmtId="4" fontId="35" fillId="0" borderId="77" xfId="0" applyNumberFormat="1" applyFont="1" applyBorder="1" applyAlignment="1">
      <alignment horizontal="right" vertical="top" shrinkToFit="1"/>
    </xf>
    <xf numFmtId="1" fontId="0" fillId="0" borderId="18" xfId="0" applyNumberForma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4" fontId="0" fillId="0" borderId="17" xfId="0" applyNumberFormat="1" applyBorder="1" applyProtection="1">
      <protection locked="0"/>
    </xf>
    <xf numFmtId="4" fontId="0" fillId="0" borderId="38" xfId="0" applyNumberFormat="1" applyBorder="1" applyProtection="1">
      <protection locked="0"/>
    </xf>
    <xf numFmtId="1" fontId="0" fillId="0" borderId="43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 applyProtection="1">
      <alignment horizontal="center"/>
      <protection locked="0"/>
    </xf>
    <xf numFmtId="4" fontId="0" fillId="0" borderId="29" xfId="0" applyNumberFormat="1" applyBorder="1" applyProtection="1">
      <protection locked="0"/>
    </xf>
    <xf numFmtId="0" fontId="30" fillId="0" borderId="14" xfId="0" applyFont="1" applyBorder="1" applyAlignment="1" applyProtection="1">
      <alignment horizontal="left"/>
      <protection hidden="1"/>
    </xf>
    <xf numFmtId="0" fontId="4" fillId="20" borderId="59" xfId="0" applyFont="1" applyFill="1" applyBorder="1" applyAlignment="1" applyProtection="1">
      <alignment horizontal="left" wrapText="1"/>
      <protection hidden="1"/>
    </xf>
    <xf numFmtId="0" fontId="4" fillId="20" borderId="10" xfId="0" applyFont="1" applyFill="1" applyBorder="1" applyAlignment="1" applyProtection="1">
      <alignment horizontal="left" wrapText="1"/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25" fillId="19" borderId="22" xfId="0" applyFont="1" applyFill="1" applyBorder="1" applyAlignment="1" applyProtection="1">
      <alignment horizontal="center" vertical="center"/>
      <protection hidden="1"/>
    </xf>
    <xf numFmtId="0" fontId="25" fillId="19" borderId="24" xfId="0" applyFont="1" applyFill="1" applyBorder="1" applyAlignment="1" applyProtection="1">
      <alignment horizontal="center" vertical="center"/>
      <protection hidden="1"/>
    </xf>
    <xf numFmtId="0" fontId="25" fillId="19" borderId="25" xfId="0" applyFont="1" applyFill="1" applyBorder="1" applyAlignment="1" applyProtection="1">
      <alignment horizontal="center" vertical="center"/>
      <protection hidden="1"/>
    </xf>
    <xf numFmtId="0" fontId="29" fillId="0" borderId="0" xfId="13" applyAlignment="1" applyProtection="1">
      <alignment horizontal="center"/>
      <protection hidden="1"/>
    </xf>
    <xf numFmtId="0" fontId="29" fillId="0" borderId="0" xfId="13" applyAlignment="1" applyProtection="1">
      <alignment horizontal="left"/>
      <protection hidden="1"/>
    </xf>
    <xf numFmtId="0" fontId="0" fillId="0" borderId="5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6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71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0" fillId="0" borderId="72" xfId="0" applyBorder="1" applyAlignment="1" applyProtection="1">
      <alignment horizontal="left" vertical="top" wrapText="1"/>
      <protection locked="0"/>
    </xf>
    <xf numFmtId="0" fontId="0" fillId="0" borderId="5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57" xfId="0" applyBorder="1" applyAlignment="1" applyProtection="1">
      <alignment horizontal="left"/>
      <protection locked="0"/>
    </xf>
    <xf numFmtId="0" fontId="0" fillId="0" borderId="71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73" xfId="0" applyBorder="1" applyAlignment="1" applyProtection="1">
      <alignment horizontal="left"/>
      <protection locked="0"/>
    </xf>
    <xf numFmtId="0" fontId="0" fillId="0" borderId="68" xfId="0" applyBorder="1" applyAlignment="1" applyProtection="1">
      <alignment horizontal="left"/>
      <protection locked="0"/>
    </xf>
    <xf numFmtId="0" fontId="0" fillId="0" borderId="69" xfId="0" applyBorder="1" applyAlignment="1" applyProtection="1">
      <alignment horizontal="left"/>
      <protection locked="0"/>
    </xf>
    <xf numFmtId="0" fontId="0" fillId="0" borderId="70" xfId="0" applyBorder="1" applyAlignment="1" applyProtection="1">
      <alignment horizontal="left"/>
      <protection locked="0"/>
    </xf>
    <xf numFmtId="0" fontId="0" fillId="18" borderId="59" xfId="0" applyFill="1" applyBorder="1" applyAlignment="1" applyProtection="1">
      <alignment horizontal="left"/>
      <protection locked="0"/>
    </xf>
    <xf numFmtId="0" fontId="0" fillId="18" borderId="10" xfId="0" applyFill="1" applyBorder="1" applyAlignment="1" applyProtection="1">
      <alignment horizontal="left"/>
      <protection locked="0"/>
    </xf>
    <xf numFmtId="0" fontId="0" fillId="18" borderId="57" xfId="0" applyFill="1" applyBorder="1" applyAlignment="1" applyProtection="1">
      <alignment horizontal="left"/>
      <protection locked="0"/>
    </xf>
    <xf numFmtId="0" fontId="0" fillId="18" borderId="68" xfId="0" applyFill="1" applyBorder="1" applyAlignment="1" applyProtection="1">
      <alignment horizontal="left"/>
      <protection locked="0"/>
    </xf>
    <xf numFmtId="0" fontId="0" fillId="18" borderId="69" xfId="0" applyFill="1" applyBorder="1" applyAlignment="1" applyProtection="1">
      <alignment horizontal="left"/>
      <protection locked="0"/>
    </xf>
    <xf numFmtId="0" fontId="0" fillId="18" borderId="70" xfId="0" applyFill="1" applyBorder="1" applyAlignment="1" applyProtection="1">
      <alignment horizontal="left"/>
      <protection locked="0"/>
    </xf>
    <xf numFmtId="0" fontId="0" fillId="18" borderId="59" xfId="0" applyFill="1" applyBorder="1" applyAlignment="1" applyProtection="1">
      <alignment horizontal="center"/>
      <protection locked="0"/>
    </xf>
    <xf numFmtId="0" fontId="0" fillId="18" borderId="10" xfId="0" applyFill="1" applyBorder="1" applyAlignment="1" applyProtection="1">
      <alignment horizontal="center"/>
      <protection locked="0"/>
    </xf>
    <xf numFmtId="0" fontId="0" fillId="18" borderId="60" xfId="0" applyFill="1" applyBorder="1" applyAlignment="1" applyProtection="1">
      <alignment horizontal="center"/>
      <protection locked="0"/>
    </xf>
    <xf numFmtId="20" fontId="0" fillId="0" borderId="0" xfId="0" applyNumberFormat="1" applyAlignment="1" applyProtection="1">
      <alignment horizontal="center"/>
      <protection hidden="1"/>
    </xf>
    <xf numFmtId="0" fontId="0" fillId="0" borderId="59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60" xfId="0" applyBorder="1" applyAlignment="1" applyProtection="1">
      <alignment horizontal="left"/>
      <protection hidden="1"/>
    </xf>
    <xf numFmtId="0" fontId="0" fillId="18" borderId="71" xfId="0" applyFill="1" applyBorder="1" applyAlignment="1" applyProtection="1">
      <alignment horizontal="left"/>
      <protection locked="0"/>
    </xf>
    <xf numFmtId="0" fontId="0" fillId="18" borderId="40" xfId="0" applyFill="1" applyBorder="1" applyAlignment="1" applyProtection="1">
      <alignment horizontal="left"/>
      <protection locked="0"/>
    </xf>
    <xf numFmtId="0" fontId="0" fillId="18" borderId="73" xfId="0" applyFill="1" applyBorder="1" applyAlignment="1" applyProtection="1">
      <alignment horizontal="left"/>
      <protection locked="0"/>
    </xf>
    <xf numFmtId="0" fontId="22" fillId="19" borderId="22" xfId="0" applyFont="1" applyFill="1" applyBorder="1" applyAlignment="1" applyProtection="1">
      <alignment horizontal="center" vertical="center"/>
      <protection hidden="1"/>
    </xf>
    <xf numFmtId="0" fontId="22" fillId="19" borderId="24" xfId="0" applyFont="1" applyFill="1" applyBorder="1" applyAlignment="1" applyProtection="1">
      <alignment horizontal="center" vertical="center"/>
      <protection hidden="1"/>
    </xf>
    <xf numFmtId="0" fontId="22" fillId="19" borderId="25" xfId="0" applyFont="1" applyFill="1" applyBorder="1" applyAlignment="1" applyProtection="1">
      <alignment horizontal="center" vertical="center"/>
      <protection hidden="1"/>
    </xf>
    <xf numFmtId="0" fontId="24" fillId="19" borderId="33" xfId="0" applyFont="1" applyFill="1" applyBorder="1" applyAlignment="1" applyProtection="1">
      <alignment horizontal="center"/>
      <protection hidden="1"/>
    </xf>
    <xf numFmtId="0" fontId="24" fillId="19" borderId="34" xfId="0" applyFont="1" applyFill="1" applyBorder="1" applyAlignment="1" applyProtection="1">
      <alignment horizontal="center"/>
      <protection hidden="1"/>
    </xf>
    <xf numFmtId="0" fontId="24" fillId="19" borderId="35" xfId="0" applyFont="1" applyFill="1" applyBorder="1" applyAlignment="1" applyProtection="1">
      <alignment horizontal="center"/>
      <protection hidden="1"/>
    </xf>
  </cellXfs>
  <cellStyles count="2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Link" xfId="13" builtinId="8"/>
    <cellStyle name="Neutral" xfId="14" builtinId="28" customBuiltin="1"/>
    <cellStyle name="Notiz" xfId="15" builtinId="10" customBuiltin="1"/>
    <cellStyle name="Prozent" xfId="16" builtinId="5"/>
    <cellStyle name="Schlecht" xfId="17" builtinId="27" customBuiltin="1"/>
    <cellStyle name="Standard" xfId="0" builtinId="0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15"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 patternType="solid"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EAF7D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6F1F7"/>
      <rgbColor rgb="003366FF"/>
      <rgbColor rgb="0033CCCC"/>
      <rgbColor rgb="00EBEBEB"/>
      <rgbColor rgb="000668AF"/>
      <rgbColor rgb="006B9535"/>
      <rgbColor rgb="00E6F1F7"/>
      <rgbColor rgb="00666699"/>
      <rgbColor rgb="00969696"/>
      <rgbColor rgb="00003366"/>
      <rgbColor rgb="00339966"/>
      <rgbColor rgb="00003300"/>
      <rgbColor rgb="007AB031"/>
      <rgbColor rgb="000668A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List" dx="22" fmlaLink="$N$9" fmlaRange="Parameter_Intern!$C$5:$C$10" noThreeD="1" sel="2" val="0"/>
</file>

<file path=xl/ctrlProps/ctrlProp2.xml><?xml version="1.0" encoding="utf-8"?>
<formControlPr xmlns="http://schemas.microsoft.com/office/spreadsheetml/2009/9/main" objectType="Drop" dropLines="12" dropStyle="combo" dx="22" fmlaLink="$T$31" fmlaRange="Pauschalen!$F$6:$F$230" sel="1" val="0"/>
</file>

<file path=xl/ctrlProps/ctrlProp3.xml><?xml version="1.0" encoding="utf-8"?>
<formControlPr xmlns="http://schemas.microsoft.com/office/spreadsheetml/2009/9/main" objectType="CheckBox" checked="Checked" fmlaLink="$T$32" lockText="1" noThreeD="1"/>
</file>

<file path=xl/ctrlProps/ctrlProp4.xml><?xml version="1.0" encoding="utf-8"?>
<formControlPr xmlns="http://schemas.microsoft.com/office/spreadsheetml/2009/9/main" objectType="Radio" firstButton="1" fmlaLink="$Y$3" lockText="1"/>
</file>

<file path=xl/ctrlProps/ctrlProp5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9</xdr:col>
      <xdr:colOff>133350</xdr:colOff>
      <xdr:row>6</xdr:row>
      <xdr:rowOff>533400</xdr:rowOff>
    </xdr:to>
    <xdr:sp macro="" textlink="">
      <xdr:nvSpPr>
        <xdr:cNvPr id="21505" name="Text 2">
          <a:extLst>
            <a:ext uri="{FF2B5EF4-FFF2-40B4-BE49-F238E27FC236}">
              <a16:creationId xmlns:a16="http://schemas.microsoft.com/office/drawing/2014/main" id="{00000000-0008-0000-0000-000001540000}"/>
            </a:ext>
          </a:extLst>
        </xdr:cNvPr>
        <xdr:cNvSpPr txBox="1">
          <a:spLocks noChangeArrowheads="1"/>
        </xdr:cNvSpPr>
      </xdr:nvSpPr>
      <xdr:spPr bwMode="auto">
        <a:xfrm>
          <a:off x="771525" y="1447800"/>
          <a:ext cx="4581525" cy="695325"/>
        </a:xfrm>
        <a:prstGeom prst="rect">
          <a:avLst/>
        </a:prstGeom>
        <a:solidFill>
          <a:srgbClr val="E6F1F7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dem Tool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Reisekostenrechner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können Sie schnell und einfach Ihre In- und Auslandsreisen abrechnen.</a:t>
          </a:r>
        </a:p>
      </xdr:txBody>
    </xdr:sp>
    <xdr:clientData/>
  </xdr:twoCellAnchor>
  <xdr:twoCellAnchor>
    <xdr:from>
      <xdr:col>6</xdr:col>
      <xdr:colOff>47625</xdr:colOff>
      <xdr:row>16</xdr:row>
      <xdr:rowOff>0</xdr:rowOff>
    </xdr:from>
    <xdr:to>
      <xdr:col>7</xdr:col>
      <xdr:colOff>85725</xdr:colOff>
      <xdr:row>17</xdr:row>
      <xdr:rowOff>9525</xdr:rowOff>
    </xdr:to>
    <xdr:sp macro="" textlink="">
      <xdr:nvSpPr>
        <xdr:cNvPr id="21634" name="AutoShape 4">
          <a:extLst>
            <a:ext uri="{FF2B5EF4-FFF2-40B4-BE49-F238E27FC236}">
              <a16:creationId xmlns:a16="http://schemas.microsoft.com/office/drawing/2014/main" id="{00000000-0008-0000-0000-000082540000}"/>
            </a:ext>
          </a:extLst>
        </xdr:cNvPr>
        <xdr:cNvSpPr>
          <a:spLocks noChangeArrowheads="1"/>
        </xdr:cNvSpPr>
      </xdr:nvSpPr>
      <xdr:spPr bwMode="auto">
        <a:xfrm rot="5400000">
          <a:off x="3381375" y="4048125"/>
          <a:ext cx="495300" cy="209550"/>
        </a:xfrm>
        <a:prstGeom prst="triangle">
          <a:avLst>
            <a:gd name="adj" fmla="val 50000"/>
          </a:avLst>
        </a:prstGeom>
        <a:solidFill>
          <a:srgbClr val="6B953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10</xdr:col>
      <xdr:colOff>0</xdr:colOff>
      <xdr:row>37</xdr:row>
      <xdr:rowOff>95250</xdr:rowOff>
    </xdr:to>
    <xdr:grpSp>
      <xdr:nvGrpSpPr>
        <xdr:cNvPr id="21635" name="Group 3">
          <a:extLst>
            <a:ext uri="{FF2B5EF4-FFF2-40B4-BE49-F238E27FC236}">
              <a16:creationId xmlns:a16="http://schemas.microsoft.com/office/drawing/2014/main" id="{00000000-0008-0000-0000-000083540000}"/>
            </a:ext>
          </a:extLst>
        </xdr:cNvPr>
        <xdr:cNvGrpSpPr>
          <a:grpSpLocks/>
        </xdr:cNvGrpSpPr>
      </xdr:nvGrpSpPr>
      <xdr:grpSpPr bwMode="auto">
        <a:xfrm>
          <a:off x="762000" y="3933825"/>
          <a:ext cx="4600575" cy="2847975"/>
          <a:chOff x="80" y="514"/>
          <a:chExt cx="483" cy="299"/>
        </a:xfrm>
      </xdr:grpSpPr>
      <xdr:sp macro="" textlink="">
        <xdr:nvSpPr>
          <xdr:cNvPr id="21508" name="Text Box 6">
            <a:extLst>
              <a:ext uri="{FF2B5EF4-FFF2-40B4-BE49-F238E27FC236}">
                <a16:creationId xmlns:a16="http://schemas.microsoft.com/office/drawing/2014/main" id="{00000000-0008-0000-0000-0000045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" y="514"/>
            <a:ext cx="483" cy="299"/>
          </a:xfrm>
          <a:prstGeom prst="rect">
            <a:avLst/>
          </a:prstGeom>
          <a:solidFill>
            <a:srgbClr val="E6F1F7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Damit diese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Anwendung funktioniert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müssen die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Makro-Einstellungen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auf "niedrig" eingestellt sein.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2003: </a:t>
            </a: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 Einstellung können Sie im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Menü: Extras / Makro / Sicherheit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vornehmen.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2007:</a:t>
            </a: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Sicherheitswarnung: "Makros wurden deaktiviert" - Optionen anklicken und mit "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diesen Inhalt aktivieren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" bestätigen (siehe Bild).</a:t>
            </a:r>
          </a:p>
        </xdr:txBody>
      </xdr:sp>
      <xdr:pic>
        <xdr:nvPicPr>
          <xdr:cNvPr id="21638" name="Grafik 6">
            <a:extLst>
              <a:ext uri="{FF2B5EF4-FFF2-40B4-BE49-F238E27FC236}">
                <a16:creationId xmlns:a16="http://schemas.microsoft.com/office/drawing/2014/main" id="{00000000-0008-0000-0000-0000865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5" y="692"/>
            <a:ext cx="413" cy="1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38100</xdr:rowOff>
        </xdr:from>
        <xdr:to>
          <xdr:col>5</xdr:col>
          <xdr:colOff>0</xdr:colOff>
          <xdr:row>15</xdr:row>
          <xdr:rowOff>95250</xdr:rowOff>
        </xdr:to>
        <xdr:sp macro="" textlink="">
          <xdr:nvSpPr>
            <xdr:cNvPr id="21510" name="List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0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51</xdr:row>
      <xdr:rowOff>123825</xdr:rowOff>
    </xdr:from>
    <xdr:to>
      <xdr:col>14</xdr:col>
      <xdr:colOff>9525</xdr:colOff>
      <xdr:row>53</xdr:row>
      <xdr:rowOff>38100</xdr:rowOff>
    </xdr:to>
    <xdr:pic macro="[0]!DieseArbeitsmappe.AnspringenBerechnung">
      <xdr:nvPicPr>
        <xdr:cNvPr id="20533" name="Picture 41">
          <a:extLst>
            <a:ext uri="{FF2B5EF4-FFF2-40B4-BE49-F238E27FC236}">
              <a16:creationId xmlns:a16="http://schemas.microsoft.com/office/drawing/2014/main" id="{00000000-0008-0000-0100-000035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8553450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8</xdr:row>
          <xdr:rowOff>0</xdr:rowOff>
        </xdr:from>
        <xdr:to>
          <xdr:col>8</xdr:col>
          <xdr:colOff>0</xdr:colOff>
          <xdr:row>8</xdr:row>
          <xdr:rowOff>209550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152400</xdr:rowOff>
        </xdr:from>
        <xdr:to>
          <xdr:col>13</xdr:col>
          <xdr:colOff>28575</xdr:colOff>
          <xdr:row>8</xdr:row>
          <xdr:rowOff>209550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1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Pauschale für Übernachtung?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76</xdr:row>
      <xdr:rowOff>123825</xdr:rowOff>
    </xdr:from>
    <xdr:to>
      <xdr:col>20</xdr:col>
      <xdr:colOff>0</xdr:colOff>
      <xdr:row>78</xdr:row>
      <xdr:rowOff>38100</xdr:rowOff>
    </xdr:to>
    <xdr:pic macro="[0]!DieseArbeitsmappe.AnspringenEingaben">
      <xdr:nvPicPr>
        <xdr:cNvPr id="17499" name="Picture 39">
          <a:extLst>
            <a:ext uri="{FF2B5EF4-FFF2-40B4-BE49-F238E27FC236}">
              <a16:creationId xmlns:a16="http://schemas.microsoft.com/office/drawing/2014/main" id="{00000000-0008-0000-0200-00005B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138237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51</xdr:row>
      <xdr:rowOff>123825</xdr:rowOff>
    </xdr:from>
    <xdr:to>
      <xdr:col>14</xdr:col>
      <xdr:colOff>9525</xdr:colOff>
      <xdr:row>53</xdr:row>
      <xdr:rowOff>38100</xdr:rowOff>
    </xdr:to>
    <xdr:pic macro="[0]!DieseArbeitsmappe.AnspringenBerechnung">
      <xdr:nvPicPr>
        <xdr:cNvPr id="23607" name="Picture 41">
          <a:extLst>
            <a:ext uri="{FF2B5EF4-FFF2-40B4-BE49-F238E27FC236}">
              <a16:creationId xmlns:a16="http://schemas.microsoft.com/office/drawing/2014/main" id="{00000000-0008-0000-0300-000037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8553450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14</xdr:col>
      <xdr:colOff>28575</xdr:colOff>
      <xdr:row>51</xdr:row>
      <xdr:rowOff>28575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15CD460-4853-49DC-ABB5-49597305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4781550" cy="829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63500</xdr:colOff>
      <xdr:row>1</xdr:row>
      <xdr:rowOff>1</xdr:rowOff>
    </xdr:from>
    <xdr:to>
      <xdr:col>32</xdr:col>
      <xdr:colOff>685800</xdr:colOff>
      <xdr:row>65</xdr:row>
      <xdr:rowOff>127927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6BC93AC-E5D0-4098-A806-0AA5B16D8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0" y="165101"/>
          <a:ext cx="6718300" cy="10859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76200</xdr:rowOff>
    </xdr:from>
    <xdr:to>
      <xdr:col>3</xdr:col>
      <xdr:colOff>4200525</xdr:colOff>
      <xdr:row>6</xdr:row>
      <xdr:rowOff>95250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 txBox="1">
          <a:spLocks noChangeArrowheads="1"/>
        </xdr:cNvSpPr>
      </xdr:nvSpPr>
      <xdr:spPr bwMode="auto">
        <a:xfrm>
          <a:off x="933450" y="1057275"/>
          <a:ext cx="4238625" cy="3695700"/>
        </a:xfrm>
        <a:prstGeom prst="rect">
          <a:avLst/>
        </a:prstGeom>
        <a:solidFill>
          <a:srgbClr val="E6F1F7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dem Tool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"Reisekostenrechner"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können Sie schnell und einfach Ihre In- und Auslandsreisen abrechnen.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Damit diese Anwendung funktioniert müssen die Makro-Einstellungen auf "niedrig" eingestellt sein.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Excel 2003: 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Diese Einstellung können Sie im Menü: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Extras / Makro / Sicherheit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vornehmen oder die Sicherheitswarnung mit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diesen Inhalt aktivieren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bestätigen.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Excel 2007: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Sicherheitswarnung: "Makros wurden deaktiviert" - Optionen anklicken und mit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diesen Inhalt aktivieren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bestätigen (siehe Bild).</a:t>
          </a:r>
        </a:p>
      </xdr:txBody>
    </xdr:sp>
    <xdr:clientData/>
  </xdr:twoCellAnchor>
  <xdr:twoCellAnchor>
    <xdr:from>
      <xdr:col>2</xdr:col>
      <xdr:colOff>47625</xdr:colOff>
      <xdr:row>9</xdr:row>
      <xdr:rowOff>123825</xdr:rowOff>
    </xdr:from>
    <xdr:to>
      <xdr:col>4</xdr:col>
      <xdr:colOff>0</xdr:colOff>
      <xdr:row>11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SpPr txBox="1">
          <a:spLocks noChangeArrowheads="1"/>
        </xdr:cNvSpPr>
      </xdr:nvSpPr>
      <xdr:spPr bwMode="auto">
        <a:xfrm>
          <a:off x="914400" y="5276850"/>
          <a:ext cx="4324350" cy="3095625"/>
        </a:xfrm>
        <a:prstGeom prst="rect">
          <a:avLst/>
        </a:prstGeom>
        <a:solidFill>
          <a:srgbClr val="E6F1F7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 mit dem Reisekostenrechner zur arbeiten sind im Arbeitsblatt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"Stammdaten"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zunächst die folgenden Angaben erforderlich: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Die Mitarbeiter, die Sie über dieses Tool abrechnen wollen.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Die Belegarten, die dieses Tool verwenden sollen.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Mitarbeiter geben Sie im Bereich D13 bis L34 ein. Für die zu verwendenden Belege finden Sie in den Spalten S bis V schon einige Beispiele.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 Arbeitsblatt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"Pauschalen"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finden Sie im Jahr 2025 geltenden Pauschalen.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 Arbeitsblatt "Eingaben" geben Sie die Daten zur Abrechnung der Reisekosten ein. Die Angaben sind selbsterklärend.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Aufgrund der gemachten Angaben wird im Arbeitsblatt "Berechnung" die Reisekostenabrechnung erstellt.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0</xdr:colOff>
      <xdr:row>5</xdr:row>
      <xdr:rowOff>2514600</xdr:rowOff>
    </xdr:from>
    <xdr:to>
      <xdr:col>3</xdr:col>
      <xdr:colOff>3933825</xdr:colOff>
      <xdr:row>5</xdr:row>
      <xdr:rowOff>3590925</xdr:rowOff>
    </xdr:to>
    <xdr:pic>
      <xdr:nvPicPr>
        <xdr:cNvPr id="2156" name="Grafik 6">
          <a:extLst>
            <a:ext uri="{FF2B5EF4-FFF2-40B4-BE49-F238E27FC236}">
              <a16:creationId xmlns:a16="http://schemas.microsoft.com/office/drawing/2014/main" id="{00000000-0008-0000-0400-00006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495675"/>
          <a:ext cx="39338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3190875</xdr:colOff>
      <xdr:row>13</xdr:row>
      <xdr:rowOff>123825</xdr:rowOff>
    </xdr:from>
    <xdr:to>
      <xdr:col>6</xdr:col>
      <xdr:colOff>19050</xdr:colOff>
      <xdr:row>15</xdr:row>
      <xdr:rowOff>38100</xdr:rowOff>
    </xdr:to>
    <xdr:pic macro="[0]!DieseArbeitsmappe.AnspringenEingaben">
      <xdr:nvPicPr>
        <xdr:cNvPr id="2157" name="Picture 39">
          <a:extLst>
            <a:ext uri="{FF2B5EF4-FFF2-40B4-BE49-F238E27FC236}">
              <a16:creationId xmlns:a16="http://schemas.microsoft.com/office/drawing/2014/main" id="{00000000-0008-0000-04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8743950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1819275</xdr:colOff>
      <xdr:row>13</xdr:row>
      <xdr:rowOff>123825</xdr:rowOff>
    </xdr:from>
    <xdr:to>
      <xdr:col>3</xdr:col>
      <xdr:colOff>3133725</xdr:colOff>
      <xdr:row>15</xdr:row>
      <xdr:rowOff>38100</xdr:rowOff>
    </xdr:to>
    <xdr:pic macro="[0]!DieseArbeitsmappe.AnspringenBerechnung">
      <xdr:nvPicPr>
        <xdr:cNvPr id="2158" name="Picture 41">
          <a:extLst>
            <a:ext uri="{FF2B5EF4-FFF2-40B4-BE49-F238E27FC236}">
              <a16:creationId xmlns:a16="http://schemas.microsoft.com/office/drawing/2014/main" id="{00000000-0008-0000-04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8743950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35</xdr:row>
      <xdr:rowOff>152400</xdr:rowOff>
    </xdr:from>
    <xdr:to>
      <xdr:col>15</xdr:col>
      <xdr:colOff>85725</xdr:colOff>
      <xdr:row>37</xdr:row>
      <xdr:rowOff>66675</xdr:rowOff>
    </xdr:to>
    <xdr:pic macro="[0]!DieseArbeitsmappe.AnspringenEingaben">
      <xdr:nvPicPr>
        <xdr:cNvPr id="19506" name="Picture 39">
          <a:extLst>
            <a:ext uri="{FF2B5EF4-FFF2-40B4-BE49-F238E27FC236}">
              <a16:creationId xmlns:a16="http://schemas.microsoft.com/office/drawing/2014/main" id="{00000000-0008-0000-0500-000032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6019800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733425</xdr:colOff>
      <xdr:row>35</xdr:row>
      <xdr:rowOff>152400</xdr:rowOff>
    </xdr:from>
    <xdr:to>
      <xdr:col>13</xdr:col>
      <xdr:colOff>190500</xdr:colOff>
      <xdr:row>37</xdr:row>
      <xdr:rowOff>66675</xdr:rowOff>
    </xdr:to>
    <xdr:pic macro="[0]!DieseArbeitsmappe.AnspringenBerechnung">
      <xdr:nvPicPr>
        <xdr:cNvPr id="19507" name="Picture 41">
          <a:extLst>
            <a:ext uri="{FF2B5EF4-FFF2-40B4-BE49-F238E27FC236}">
              <a16:creationId xmlns:a16="http://schemas.microsoft.com/office/drawing/2014/main" id="{00000000-0008-0000-0500-000033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019800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</xdr:row>
          <xdr:rowOff>47625</xdr:rowOff>
        </xdr:from>
        <xdr:to>
          <xdr:col>4</xdr:col>
          <xdr:colOff>457200</xdr:colOff>
          <xdr:row>9</xdr:row>
          <xdr:rowOff>123825</xdr:rowOff>
        </xdr:to>
        <xdr:sp macro="" textlink="">
          <xdr:nvSpPr>
            <xdr:cNvPr id="19461" name="Option Button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5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Vorname, Nachname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8</xdr:row>
          <xdr:rowOff>47625</xdr:rowOff>
        </xdr:from>
        <xdr:to>
          <xdr:col>6</xdr:col>
          <xdr:colOff>238125</xdr:colOff>
          <xdr:row>9</xdr:row>
          <xdr:rowOff>123825</xdr:rowOff>
        </xdr:to>
        <xdr:sp macro="" textlink="">
          <xdr:nvSpPr>
            <xdr:cNvPr id="19462" name="Option Button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5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Nachname, Vorname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231</xdr:row>
      <xdr:rowOff>152400</xdr:rowOff>
    </xdr:from>
    <xdr:to>
      <xdr:col>15</xdr:col>
      <xdr:colOff>19050</xdr:colOff>
      <xdr:row>233</xdr:row>
      <xdr:rowOff>66675</xdr:rowOff>
    </xdr:to>
    <xdr:pic macro="[0]!DieseArbeitsmappe.AnspringenEingaben">
      <xdr:nvPicPr>
        <xdr:cNvPr id="18480" name="Picture 39">
          <a:extLst>
            <a:ext uri="{FF2B5EF4-FFF2-40B4-BE49-F238E27FC236}">
              <a16:creationId xmlns:a16="http://schemas.microsoft.com/office/drawing/2014/main" id="{00000000-0008-0000-0600-000030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3942397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1219200</xdr:colOff>
      <xdr:row>231</xdr:row>
      <xdr:rowOff>152400</xdr:rowOff>
    </xdr:from>
    <xdr:to>
      <xdr:col>8</xdr:col>
      <xdr:colOff>676275</xdr:colOff>
      <xdr:row>233</xdr:row>
      <xdr:rowOff>66675</xdr:rowOff>
    </xdr:to>
    <xdr:pic macro="[0]!DieseArbeitsmappe.AnspringenBerechnung">
      <xdr:nvPicPr>
        <xdr:cNvPr id="18481" name="Picture 41">
          <a:extLst>
            <a:ext uri="{FF2B5EF4-FFF2-40B4-BE49-F238E27FC236}">
              <a16:creationId xmlns:a16="http://schemas.microsoft.com/office/drawing/2014/main" id="{00000000-0008-0000-0600-000031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9423975"/>
          <a:ext cx="1323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>
    <pageSetUpPr autoPageBreaks="0"/>
  </sheetPr>
  <dimension ref="B1:N41"/>
  <sheetViews>
    <sheetView showGridLines="0" showZeros="0" tabSelected="1" topLeftCell="A4" zoomScaleNormal="100" workbookViewId="0">
      <selection activeCell="W18" sqref="W18"/>
    </sheetView>
  </sheetViews>
  <sheetFormatPr baseColWidth="10" defaultColWidth="11.42578125" defaultRowHeight="12.75" x14ac:dyDescent="0.2"/>
  <cols>
    <col min="1" max="1" width="11.42578125" style="3" customWidth="1"/>
    <col min="2" max="3" width="1.5703125" style="3" customWidth="1"/>
    <col min="4" max="4" width="23.140625" style="3" customWidth="1"/>
    <col min="5" max="5" width="11.85546875" style="3" customWidth="1"/>
    <col min="6" max="7" width="2.5703125" style="3" customWidth="1"/>
    <col min="8" max="8" width="21.7109375" style="3" customWidth="1"/>
    <col min="9" max="9" width="1.85546875" style="3" customWidth="1"/>
    <col min="10" max="10" width="2.140625" style="3" customWidth="1"/>
    <col min="11" max="12" width="11.42578125" style="3" customWidth="1"/>
    <col min="13" max="14" width="11.42578125" style="3" hidden="1" customWidth="1"/>
    <col min="15" max="16384" width="11.42578125" style="3"/>
  </cols>
  <sheetData>
    <row r="1" spans="2:14" hidden="1" x14ac:dyDescent="0.2"/>
    <row r="2" spans="2:14" hidden="1" x14ac:dyDescent="0.2"/>
    <row r="3" spans="2:14" ht="50.25" hidden="1" customHeight="1" x14ac:dyDescent="0.2"/>
    <row r="4" spans="2:14" ht="13.5" thickBot="1" x14ac:dyDescent="0.25">
      <c r="J4" s="54" t="s">
        <v>114</v>
      </c>
    </row>
    <row r="5" spans="2:14" ht="24.75" customHeight="1" x14ac:dyDescent="0.2">
      <c r="B5" s="151" t="s">
        <v>401</v>
      </c>
      <c r="C5" s="152"/>
      <c r="D5" s="152"/>
      <c r="E5" s="152"/>
      <c r="F5" s="152"/>
      <c r="G5" s="152"/>
      <c r="H5" s="152"/>
      <c r="I5" s="152"/>
      <c r="J5" s="153"/>
    </row>
    <row r="6" spans="2:14" x14ac:dyDescent="0.2">
      <c r="B6" s="4"/>
      <c r="J6" s="5"/>
    </row>
    <row r="7" spans="2:14" ht="59.25" customHeight="1" x14ac:dyDescent="0.2">
      <c r="B7" s="4"/>
      <c r="J7" s="5"/>
    </row>
    <row r="8" spans="2:14" ht="13.5" thickBot="1" x14ac:dyDescent="0.25">
      <c r="B8" s="4"/>
      <c r="J8" s="5"/>
    </row>
    <row r="9" spans="2:14" ht="17.25" customHeight="1" thickBot="1" x14ac:dyDescent="0.25">
      <c r="B9" s="4"/>
      <c r="C9" s="30"/>
      <c r="D9" s="154" t="s">
        <v>115</v>
      </c>
      <c r="E9" s="31"/>
      <c r="F9" s="31"/>
      <c r="G9" s="31"/>
      <c r="H9" s="31"/>
      <c r="I9" s="32"/>
      <c r="J9" s="5"/>
      <c r="M9" s="40" t="s">
        <v>116</v>
      </c>
      <c r="N9" s="155">
        <v>2</v>
      </c>
    </row>
    <row r="10" spans="2:14" ht="12.75" customHeight="1" thickBot="1" x14ac:dyDescent="0.25">
      <c r="B10" s="4"/>
      <c r="C10" s="4"/>
      <c r="G10" s="11" t="s">
        <v>117</v>
      </c>
      <c r="H10" s="156"/>
      <c r="I10" s="5"/>
      <c r="J10" s="5"/>
    </row>
    <row r="11" spans="2:14" ht="13.5" customHeight="1" thickBot="1" x14ac:dyDescent="0.25">
      <c r="B11" s="4"/>
      <c r="C11" s="4"/>
      <c r="G11" s="241" t="str">
        <f>INDEX(Parameter_Intern!C5:D10,Startseite!N9,2)</f>
        <v>In diesem Arbeitsblatt wird die Reisekostenabrechnung erstellt</v>
      </c>
      <c r="H11" s="241"/>
      <c r="I11" s="5"/>
      <c r="J11" s="5"/>
      <c r="M11" s="157">
        <f>+N9/2</f>
        <v>1</v>
      </c>
      <c r="N11" s="155">
        <f>+ROUND(N9/2,0)</f>
        <v>1</v>
      </c>
    </row>
    <row r="12" spans="2:14" ht="13.5" thickBot="1" x14ac:dyDescent="0.25">
      <c r="B12" s="4"/>
      <c r="C12" s="4"/>
      <c r="G12" s="241"/>
      <c r="H12" s="241"/>
      <c r="I12" s="5"/>
      <c r="J12" s="5"/>
      <c r="M12" s="239">
        <f>IF(M11=N11,1,2)</f>
        <v>1</v>
      </c>
      <c r="N12" s="240"/>
    </row>
    <row r="13" spans="2:14" x14ac:dyDescent="0.2">
      <c r="B13" s="4"/>
      <c r="C13" s="4"/>
      <c r="G13" s="241"/>
      <c r="H13" s="241"/>
      <c r="I13" s="5"/>
      <c r="J13" s="5"/>
    </row>
    <row r="14" spans="2:14" x14ac:dyDescent="0.2">
      <c r="B14" s="4"/>
      <c r="C14" s="4"/>
      <c r="G14" s="241"/>
      <c r="H14" s="241"/>
      <c r="I14" s="5"/>
      <c r="J14" s="5"/>
    </row>
    <row r="15" spans="2:14" x14ac:dyDescent="0.2">
      <c r="B15" s="4"/>
      <c r="C15" s="4"/>
      <c r="G15" s="241"/>
      <c r="H15" s="241"/>
      <c r="I15" s="5"/>
      <c r="J15" s="5"/>
    </row>
    <row r="16" spans="2:14" x14ac:dyDescent="0.2">
      <c r="B16" s="4"/>
      <c r="C16" s="4"/>
      <c r="I16" s="5"/>
      <c r="J16" s="5"/>
    </row>
    <row r="17" spans="2:12" ht="38.25" customHeight="1" x14ac:dyDescent="0.2">
      <c r="B17" s="4"/>
      <c r="C17" s="4"/>
      <c r="D17" s="237" t="str">
        <f>"Bei einem Klick auf "&amp;H17&amp;" kommen Sie direkt zum entsprechenden Arbeitsblatt"</f>
        <v>Bei einem Klick auf Berechnung kommen Sie direkt zum entsprechenden Arbeitsblatt</v>
      </c>
      <c r="E17" s="238"/>
      <c r="F17" s="158"/>
      <c r="G17" s="159"/>
      <c r="H17" s="160" t="str">
        <f>+HYPERLINK(VLOOKUP($N$9,Parameter_Intern!$B$5:$E$30,4,FALSE),VLOOKUP($N$9,Parameter_Intern!$B$5:$E$30,2,FALSE))</f>
        <v>Berechnung</v>
      </c>
      <c r="I17" s="161"/>
      <c r="J17" s="5"/>
      <c r="L17" s="11"/>
    </row>
    <row r="18" spans="2:12" ht="13.5" thickBot="1" x14ac:dyDescent="0.25">
      <c r="B18" s="4"/>
      <c r="C18" s="6"/>
      <c r="D18" s="7"/>
      <c r="E18" s="7"/>
      <c r="F18" s="7"/>
      <c r="G18" s="7"/>
      <c r="H18" s="7"/>
      <c r="I18" s="8"/>
      <c r="J18" s="5"/>
    </row>
    <row r="19" spans="2:12" ht="13.5" thickBot="1" x14ac:dyDescent="0.25">
      <c r="B19" s="6"/>
      <c r="C19" s="7"/>
      <c r="D19" s="162"/>
      <c r="E19" s="7"/>
      <c r="F19" s="7"/>
      <c r="G19" s="7"/>
      <c r="H19" s="7"/>
      <c r="I19" s="7"/>
      <c r="J19" s="8"/>
    </row>
    <row r="21" spans="2:12" x14ac:dyDescent="0.2">
      <c r="C21" s="163"/>
    </row>
    <row r="22" spans="2:12" x14ac:dyDescent="0.2">
      <c r="C22" s="163"/>
    </row>
    <row r="25" spans="2:12" ht="12.75" customHeight="1" x14ac:dyDescent="0.2"/>
    <row r="39" spans="2:2" x14ac:dyDescent="0.2">
      <c r="B39" s="163" t="s">
        <v>402</v>
      </c>
    </row>
    <row r="40" spans="2:2" x14ac:dyDescent="0.2">
      <c r="B40" s="163" t="s">
        <v>118</v>
      </c>
    </row>
    <row r="41" spans="2:2" x14ac:dyDescent="0.2">
      <c r="B41" s="163" t="s">
        <v>110</v>
      </c>
    </row>
  </sheetData>
  <sheetProtection sheet="1" objects="1" scenarios="1"/>
  <mergeCells count="3">
    <mergeCell ref="D17:E17"/>
    <mergeCell ref="M12:N12"/>
    <mergeCell ref="G11:H15"/>
  </mergeCells>
  <phoneticPr fontId="3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0" r:id="rId4" name="List Box 6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38100</xdr:rowOff>
                  </from>
                  <to>
                    <xdr:col>5</xdr:col>
                    <xdr:colOff>0</xdr:colOff>
                    <xdr:row>15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pageSetUpPr autoPageBreaks="0" fitToPage="1"/>
  </sheetPr>
  <dimension ref="B1:AC77"/>
  <sheetViews>
    <sheetView showGridLines="0" zoomScaleNormal="100" zoomScaleSheetLayoutView="75" workbookViewId="0">
      <selection activeCell="F4" sqref="F4:H4"/>
    </sheetView>
  </sheetViews>
  <sheetFormatPr baseColWidth="10" defaultColWidth="11.42578125" defaultRowHeight="12.75" customHeight="1" x14ac:dyDescent="0.2"/>
  <cols>
    <col min="1" max="1" width="11.42578125" style="3" customWidth="1"/>
    <col min="2" max="2" width="1.7109375" style="3" customWidth="1"/>
    <col min="3" max="3" width="2.85546875" style="3" customWidth="1"/>
    <col min="4" max="4" width="13.28515625" style="3" customWidth="1"/>
    <col min="5" max="5" width="6.28515625" style="3" customWidth="1"/>
    <col min="6" max="6" width="10.85546875" style="3" customWidth="1"/>
    <col min="7" max="7" width="3.5703125" style="3" bestFit="1" customWidth="1"/>
    <col min="8" max="8" width="8.140625" style="3" bestFit="1" customWidth="1"/>
    <col min="9" max="9" width="1.7109375" style="3" customWidth="1"/>
    <col min="10" max="10" width="9.42578125" style="3" customWidth="1"/>
    <col min="11" max="11" width="1.7109375" style="3" customWidth="1"/>
    <col min="12" max="12" width="8.140625" style="3" bestFit="1" customWidth="1"/>
    <col min="13" max="13" width="1.7109375" style="3" customWidth="1"/>
    <col min="14" max="14" width="1.85546875" style="3" customWidth="1"/>
    <col min="15" max="17" width="11.42578125" style="3" customWidth="1"/>
    <col min="18" max="18" width="11.42578125" style="3" hidden="1" customWidth="1"/>
    <col min="19" max="19" width="26.5703125" style="3" hidden="1" customWidth="1"/>
    <col min="20" max="24" width="11.42578125" style="3" hidden="1" customWidth="1"/>
    <col min="25" max="25" width="3.140625" style="3" hidden="1" customWidth="1"/>
    <col min="26" max="29" width="11.42578125" style="3" hidden="1" customWidth="1"/>
    <col min="30" max="30" width="11.5703125" style="3" customWidth="1"/>
    <col min="31" max="16384" width="11.42578125" style="3"/>
  </cols>
  <sheetData>
    <row r="1" spans="2:22" ht="12.75" customHeight="1" thickBot="1" x14ac:dyDescent="0.25">
      <c r="N1" s="54" t="s">
        <v>121</v>
      </c>
    </row>
    <row r="2" spans="2:22" ht="16.5" customHeight="1" thickBot="1" x14ac:dyDescent="0.25">
      <c r="B2" s="242" t="s">
        <v>403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4"/>
      <c r="S2" s="189"/>
      <c r="T2" s="189">
        <v>1.6</v>
      </c>
    </row>
    <row r="3" spans="2:22" ht="12.75" customHeight="1" x14ac:dyDescent="0.2">
      <c r="B3" s="4"/>
      <c r="N3" s="5"/>
      <c r="S3" s="189">
        <v>1</v>
      </c>
      <c r="T3" s="189">
        <v>4.8</v>
      </c>
    </row>
    <row r="4" spans="2:22" ht="12.75" customHeight="1" thickBot="1" x14ac:dyDescent="0.25">
      <c r="B4" s="4"/>
      <c r="D4" s="3" t="s">
        <v>58</v>
      </c>
      <c r="F4" s="247"/>
      <c r="G4" s="248"/>
      <c r="H4" s="249"/>
      <c r="J4" s="3" t="str">
        <f>+IF(U5="Fehler","&lt;- Mitarbeiter wählen","")</f>
        <v>&lt;- Mitarbeiter wählen</v>
      </c>
      <c r="N4" s="5"/>
    </row>
    <row r="5" spans="2:22" ht="12.75" customHeight="1" thickBot="1" x14ac:dyDescent="0.25">
      <c r="B5" s="4"/>
      <c r="N5" s="5"/>
      <c r="S5" s="37" t="s">
        <v>61</v>
      </c>
      <c r="U5" s="3" t="str">
        <f>IF(ISERROR(VLOOKUP($F$4,Stammdaten!$C$13:$O$34,1,FALSE)&amp;", "&amp;VLOOKUP($F$4,Stammdaten!$C$13:$O$34,7,FALSE)&amp;", "&amp;VLOOKUP($F$4,Stammdaten!$C$13:$O$34,8,FALSE)&amp;" "&amp;VLOOKUP($F$4,Stammdaten!$C$13:$O$34,9,FALSE)),"Fehler",VLOOKUP($F$4,Stammdaten!$C$13:$O$34,1,FALSE)&amp;", "&amp;VLOOKUP($F$4,Stammdaten!$C$13:$O$34,7,FALSE)&amp;", "&amp;VLOOKUP($F$4,Stammdaten!$C$13:$O$34,8,FALSE)&amp;" "&amp;VLOOKUP($F$4,Stammdaten!$C$13:$O$34,9,FALSE))</f>
        <v>Fehler</v>
      </c>
    </row>
    <row r="6" spans="2:22" ht="12.75" customHeight="1" x14ac:dyDescent="0.2">
      <c r="B6" s="4"/>
      <c r="D6" s="3" t="s">
        <v>64</v>
      </c>
      <c r="F6" s="59"/>
      <c r="G6" s="47"/>
      <c r="H6" s="60"/>
      <c r="K6" s="54" t="s">
        <v>103</v>
      </c>
      <c r="L6" s="110"/>
      <c r="N6" s="5"/>
      <c r="S6" s="36" t="str">
        <f>+IF(Stammdaten!G13="","",Stammdaten!G13)</f>
        <v>Mustermann, Max</v>
      </c>
    </row>
    <row r="7" spans="2:22" ht="12.75" customHeight="1" x14ac:dyDescent="0.2">
      <c r="B7" s="4"/>
      <c r="D7" s="3" t="s">
        <v>65</v>
      </c>
      <c r="F7" s="59"/>
      <c r="G7" s="47"/>
      <c r="H7" s="60"/>
      <c r="J7" s="115" t="str">
        <f>IF(F7&lt;F6,"Datum prüfen",IF(AND(F7=F6,H7&lt;H6),"Zeiten prüfen",""))</f>
        <v/>
      </c>
      <c r="N7" s="5"/>
      <c r="S7" s="9" t="str">
        <f>+IF(Stammdaten!G14="","",Stammdaten!G14)</f>
        <v>Müller, Hein-Otto</v>
      </c>
    </row>
    <row r="8" spans="2:22" ht="12.75" customHeight="1" x14ac:dyDescent="0.2">
      <c r="B8" s="4"/>
      <c r="D8" s="208" t="str">
        <f>+IF(AND(V12&gt;=3,U35&gt;90),"Dreimonatsfrist beachten - Rechner nicht anwendbar","")</f>
        <v/>
      </c>
      <c r="E8" s="208"/>
      <c r="F8" s="209"/>
      <c r="G8" s="208"/>
      <c r="H8" s="210"/>
      <c r="I8" s="208"/>
      <c r="J8" s="208"/>
      <c r="K8" s="208"/>
      <c r="L8" s="208"/>
      <c r="N8" s="5"/>
      <c r="S8" s="9" t="str">
        <f>+IF(Stammdaten!G15="","",Stammdaten!G15)</f>
        <v>Meier, Otti</v>
      </c>
    </row>
    <row r="9" spans="2:22" ht="17.25" customHeight="1" x14ac:dyDescent="0.2">
      <c r="B9" s="4"/>
      <c r="D9" s="3" t="s">
        <v>92</v>
      </c>
      <c r="J9" s="47"/>
      <c r="N9" s="5"/>
      <c r="S9" s="9" t="str">
        <f>+IF(Stammdaten!G16="","",Stammdaten!G16)</f>
        <v/>
      </c>
      <c r="U9" s="3" t="s">
        <v>170</v>
      </c>
    </row>
    <row r="10" spans="2:22" ht="15.75" customHeight="1" thickBot="1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S10" s="9" t="str">
        <f>+IF(Stammdaten!G17="","",Stammdaten!G17)</f>
        <v/>
      </c>
      <c r="U10" s="3" t="s">
        <v>171</v>
      </c>
      <c r="V10" s="3" t="str">
        <f>+YEAR(F6)&amp;MONTH(F6)</f>
        <v>19001</v>
      </c>
    </row>
    <row r="11" spans="2:22" ht="12.75" customHeight="1" x14ac:dyDescent="0.2">
      <c r="B11" s="4"/>
      <c r="N11" s="5"/>
      <c r="S11" s="9" t="str">
        <f>+IF(Stammdaten!G18="","",Stammdaten!G18)</f>
        <v/>
      </c>
      <c r="U11" s="3" t="s">
        <v>171</v>
      </c>
      <c r="V11" s="3" t="str">
        <f>+YEAR(F7)&amp;MONTH(F7)</f>
        <v>19001</v>
      </c>
    </row>
    <row r="12" spans="2:22" ht="15" customHeight="1" x14ac:dyDescent="0.2">
      <c r="B12" s="4"/>
      <c r="D12" s="3" t="s">
        <v>93</v>
      </c>
      <c r="E12" s="250"/>
      <c r="F12" s="251"/>
      <c r="G12" s="251"/>
      <c r="H12" s="251"/>
      <c r="I12" s="251"/>
      <c r="J12" s="251"/>
      <c r="K12" s="251"/>
      <c r="L12" s="251"/>
      <c r="M12" s="252"/>
      <c r="N12" s="5"/>
      <c r="S12" s="9" t="str">
        <f>+IF(Stammdaten!G19="","",Stammdaten!G19)</f>
        <v/>
      </c>
      <c r="V12" s="47">
        <f>+V11-V10</f>
        <v>0</v>
      </c>
    </row>
    <row r="13" spans="2:22" ht="12.75" customHeight="1" x14ac:dyDescent="0.2">
      <c r="B13" s="4"/>
      <c r="E13" s="253"/>
      <c r="F13" s="254"/>
      <c r="G13" s="254"/>
      <c r="H13" s="254"/>
      <c r="I13" s="254"/>
      <c r="J13" s="254"/>
      <c r="K13" s="254"/>
      <c r="L13" s="254"/>
      <c r="M13" s="255"/>
      <c r="N13" s="5"/>
      <c r="S13" s="9" t="str">
        <f>+IF(Stammdaten!G20="","",Stammdaten!G20)</f>
        <v/>
      </c>
    </row>
    <row r="14" spans="2:22" ht="12.75" customHeight="1" x14ac:dyDescent="0.2">
      <c r="B14" s="4"/>
      <c r="E14" s="256"/>
      <c r="F14" s="257"/>
      <c r="G14" s="257"/>
      <c r="H14" s="257"/>
      <c r="I14" s="257"/>
      <c r="J14" s="257"/>
      <c r="K14" s="257"/>
      <c r="L14" s="257"/>
      <c r="M14" s="258"/>
      <c r="N14" s="5"/>
      <c r="S14" s="9" t="str">
        <f>+IF(Stammdaten!G21="","",Stammdaten!G21)</f>
        <v/>
      </c>
    </row>
    <row r="15" spans="2:22" ht="12.75" customHeight="1" x14ac:dyDescent="0.2">
      <c r="B15" s="4"/>
      <c r="N15" s="5"/>
      <c r="S15" s="9" t="str">
        <f>+IF(Stammdaten!G22="","",Stammdaten!G22)</f>
        <v/>
      </c>
    </row>
    <row r="16" spans="2:22" ht="12.75" customHeight="1" x14ac:dyDescent="0.2">
      <c r="B16" s="4"/>
      <c r="D16" s="11" t="s">
        <v>149</v>
      </c>
      <c r="E16" s="11"/>
      <c r="F16" s="11"/>
      <c r="G16" s="11"/>
      <c r="H16" s="11"/>
      <c r="N16" s="5"/>
      <c r="S16" s="9" t="str">
        <f>+IF(Stammdaten!G23="","",Stammdaten!G23)</f>
        <v/>
      </c>
    </row>
    <row r="17" spans="2:21" ht="12.75" customHeight="1" x14ac:dyDescent="0.2">
      <c r="B17" s="4"/>
      <c r="N17" s="5"/>
      <c r="S17" s="9" t="str">
        <f>+IF(Stammdaten!G24="","",Stammdaten!G24)</f>
        <v/>
      </c>
    </row>
    <row r="18" spans="2:21" ht="12.75" customHeight="1" x14ac:dyDescent="0.2">
      <c r="B18" s="4"/>
      <c r="D18" s="3" t="s">
        <v>70</v>
      </c>
      <c r="J18" s="63"/>
      <c r="L18" s="111">
        <f>IF(ISERROR(IF(ISNUMBER(J18),$L$6,0)),"",IF(ISNUMBER(J18),$L$6,0))</f>
        <v>0</v>
      </c>
      <c r="N18" s="5"/>
      <c r="S18" s="9" t="str">
        <f>+IF(Stammdaten!G25="","",Stammdaten!G25)</f>
        <v/>
      </c>
    </row>
    <row r="19" spans="2:21" ht="12.75" customHeight="1" x14ac:dyDescent="0.2">
      <c r="B19" s="4"/>
      <c r="D19" s="3" t="s">
        <v>71</v>
      </c>
      <c r="J19" s="63"/>
      <c r="L19" s="111">
        <f>IF(ISERROR(IF(ISNUMBER(J19),$L$6,0)),"",IF(ISNUMBER(J19),$L$6,0))</f>
        <v>0</v>
      </c>
      <c r="N19" s="5"/>
      <c r="S19" s="9" t="str">
        <f>+IF(Stammdaten!G26="","",Stammdaten!G26)</f>
        <v/>
      </c>
    </row>
    <row r="20" spans="2:21" ht="12.75" customHeight="1" x14ac:dyDescent="0.2">
      <c r="B20" s="4"/>
      <c r="D20" s="3" t="s">
        <v>72</v>
      </c>
      <c r="J20" s="63"/>
      <c r="L20" s="111">
        <f>IF(ISERROR(IF(ISNUMBER(J20),$L$6,0)),"",IF(ISNUMBER(J20),$L$6,0))</f>
        <v>0</v>
      </c>
      <c r="N20" s="5"/>
      <c r="S20" s="9" t="str">
        <f>+IF(Stammdaten!G27="","",Stammdaten!G27)</f>
        <v/>
      </c>
    </row>
    <row r="21" spans="2:21" ht="12.75" customHeight="1" x14ac:dyDescent="0.2">
      <c r="B21" s="4"/>
      <c r="N21" s="5"/>
      <c r="S21" s="9" t="str">
        <f>+IF(Stammdaten!G28="","",Stammdaten!G28)</f>
        <v/>
      </c>
    </row>
    <row r="22" spans="2:21" ht="12.75" customHeight="1" x14ac:dyDescent="0.2">
      <c r="B22" s="4"/>
      <c r="D22" s="11" t="s">
        <v>73</v>
      </c>
      <c r="E22" s="11"/>
      <c r="F22" s="11"/>
      <c r="G22" s="11"/>
      <c r="H22" s="11"/>
      <c r="N22" s="5"/>
      <c r="S22" s="9" t="str">
        <f>+IF(Stammdaten!G29="","",Stammdaten!G29)</f>
        <v/>
      </c>
    </row>
    <row r="23" spans="2:21" ht="12.75" customHeight="1" x14ac:dyDescent="0.2">
      <c r="B23" s="4"/>
      <c r="N23" s="5"/>
      <c r="S23" s="9" t="str">
        <f>+IF(Stammdaten!G30="","",Stammdaten!G30)</f>
        <v/>
      </c>
    </row>
    <row r="24" spans="2:21" ht="12.75" customHeight="1" x14ac:dyDescent="0.2">
      <c r="B24" s="4"/>
      <c r="D24" s="3" t="s">
        <v>69</v>
      </c>
      <c r="J24" s="64"/>
      <c r="N24" s="5"/>
      <c r="S24" s="9" t="str">
        <f>+IF(Stammdaten!G31="","",Stammdaten!G31)</f>
        <v/>
      </c>
    </row>
    <row r="25" spans="2:21" ht="12.75" customHeight="1" x14ac:dyDescent="0.2">
      <c r="B25" s="4"/>
      <c r="N25" s="5"/>
      <c r="S25" s="9" t="str">
        <f>+IF(Stammdaten!G32="","",Stammdaten!G32)</f>
        <v/>
      </c>
    </row>
    <row r="26" spans="2:21" ht="12.75" customHeight="1" thickBot="1" x14ac:dyDescent="0.25">
      <c r="B26" s="4"/>
      <c r="D26" s="11" t="s">
        <v>147</v>
      </c>
      <c r="E26" s="11"/>
      <c r="F26" s="11"/>
      <c r="G26" s="11"/>
      <c r="H26" s="11"/>
      <c r="N26" s="5"/>
      <c r="S26" s="15" t="str">
        <f>+IF(Stammdaten!G33="","",Stammdaten!G33)</f>
        <v/>
      </c>
    </row>
    <row r="27" spans="2:21" ht="12.75" customHeight="1" x14ac:dyDescent="0.2">
      <c r="B27" s="4"/>
      <c r="N27" s="5"/>
    </row>
    <row r="28" spans="2:21" ht="12.75" customHeight="1" x14ac:dyDescent="0.2">
      <c r="B28" s="4"/>
      <c r="D28" s="3" t="s">
        <v>75</v>
      </c>
      <c r="J28" s="65"/>
      <c r="L28" s="111">
        <f>IF(U32=1,0,IF(ISERROR(IF(ISNUMBER(J29),$L$6,0)),"",IF(ISNUMBER(J29),$L$6,0)))</f>
        <v>0</v>
      </c>
      <c r="N28" s="5"/>
    </row>
    <row r="29" spans="2:21" ht="12.75" customHeight="1" x14ac:dyDescent="0.2">
      <c r="B29" s="4"/>
      <c r="D29" s="3" t="str">
        <f>+IF(U32=0,"Kosten für Übernachtungen - gesamt brutto","Pauschale Übernachtungskosten")</f>
        <v>Pauschale Übernachtungskosten</v>
      </c>
      <c r="J29" s="63">
        <v>370</v>
      </c>
      <c r="L29" s="21">
        <f>+IF(U32=0,"",J28*VLOOKUP($T$31,Pauschalen!$E$6:$M$230,9,FALSE))</f>
        <v>0</v>
      </c>
      <c r="N29" s="5"/>
      <c r="S29" s="3" t="s">
        <v>146</v>
      </c>
      <c r="T29" s="3">
        <f>+IF(S3=1,T2,T3)</f>
        <v>1.6</v>
      </c>
      <c r="U29" s="3">
        <f>+IF(ISERROR(T29*J28),0,T29*J28)</f>
        <v>0</v>
      </c>
    </row>
    <row r="30" spans="2:21" ht="12.75" customHeight="1" thickBot="1" x14ac:dyDescent="0.25">
      <c r="B30" s="4"/>
      <c r="J30" s="195">
        <f>IF(U33=0,0,IF(U31="Deutschland",-U29,J28*VLOOKUP($T$31,Pauschalen!$E$5:$M$230,7,FALSE)))</f>
        <v>0</v>
      </c>
      <c r="L30" s="21">
        <f>IF(U33=0,0,J28*VLOOKUP($T$31,Pauschalen!$E$5:$M$230,7,FALSE))</f>
        <v>0</v>
      </c>
      <c r="N30" s="5"/>
    </row>
    <row r="31" spans="2:21" ht="12.75" customHeight="1" thickBot="1" x14ac:dyDescent="0.25">
      <c r="B31" s="4"/>
      <c r="D31" s="11" t="s">
        <v>155</v>
      </c>
      <c r="H31" s="3" t="s">
        <v>156</v>
      </c>
      <c r="J31" s="47" t="s">
        <v>157</v>
      </c>
      <c r="L31" s="3" t="s">
        <v>158</v>
      </c>
      <c r="N31" s="5"/>
      <c r="S31" s="40" t="s">
        <v>77</v>
      </c>
      <c r="T31" s="61">
        <v>1</v>
      </c>
      <c r="U31" s="41" t="str">
        <f>+VLOOKUP(T31,Pauschalen!E6:F230,2,FALSE)</f>
        <v>Deutschland</v>
      </c>
    </row>
    <row r="32" spans="2:21" ht="12.75" customHeight="1" thickBot="1" x14ac:dyDescent="0.25">
      <c r="B32" s="4"/>
      <c r="N32" s="5"/>
      <c r="S32" s="40" t="s">
        <v>78</v>
      </c>
      <c r="T32" s="62" t="b">
        <v>1</v>
      </c>
      <c r="U32" s="42">
        <f>+IF(T32=FALSE(),0,1)</f>
        <v>1</v>
      </c>
    </row>
    <row r="33" spans="2:27" ht="12.75" customHeight="1" thickBot="1" x14ac:dyDescent="0.25">
      <c r="B33" s="4"/>
      <c r="D33" s="3" t="str">
        <f>+IF(U35&gt;1,"Anreisetag","Reisetag")</f>
        <v>Reisetag</v>
      </c>
      <c r="H33" s="65"/>
      <c r="J33" s="65"/>
      <c r="L33" s="65"/>
      <c r="N33" s="5"/>
      <c r="S33" s="40" t="s">
        <v>76</v>
      </c>
      <c r="T33" s="62" t="b">
        <v>1</v>
      </c>
      <c r="U33" s="194">
        <f>+IF(T33=FALSE(),0,1)</f>
        <v>1</v>
      </c>
      <c r="V33" s="168">
        <f>+IF(U32=0,1,IF(U33=0,1,0))</f>
        <v>0</v>
      </c>
    </row>
    <row r="34" spans="2:27" ht="12.75" customHeight="1" thickBot="1" x14ac:dyDescent="0.25">
      <c r="B34" s="4"/>
      <c r="D34" s="3" t="s">
        <v>159</v>
      </c>
      <c r="H34" s="65"/>
      <c r="J34" s="65"/>
      <c r="L34" s="65"/>
      <c r="N34" s="5"/>
    </row>
    <row r="35" spans="2:27" ht="12.75" customHeight="1" thickBot="1" x14ac:dyDescent="0.25">
      <c r="B35" s="4"/>
      <c r="D35" s="3" t="s">
        <v>160</v>
      </c>
      <c r="H35" s="65"/>
      <c r="J35" s="65"/>
      <c r="L35" s="65"/>
      <c r="N35" s="5"/>
      <c r="S35" s="16" t="s">
        <v>80</v>
      </c>
      <c r="T35" s="17"/>
      <c r="U35" s="48">
        <f>+F7-F6+1</f>
        <v>1</v>
      </c>
    </row>
    <row r="36" spans="2:27" ht="12.75" customHeight="1" thickBot="1" x14ac:dyDescent="0.25">
      <c r="B36" s="4"/>
      <c r="N36" s="5"/>
    </row>
    <row r="37" spans="2:27" ht="12.75" customHeight="1" x14ac:dyDescent="0.2">
      <c r="B37" s="4"/>
      <c r="D37" s="11" t="s">
        <v>105</v>
      </c>
      <c r="E37" s="11"/>
      <c r="F37" s="11"/>
      <c r="G37" s="11"/>
      <c r="H37" s="11"/>
      <c r="N37" s="5"/>
      <c r="S37" s="12" t="s">
        <v>81</v>
      </c>
      <c r="T37" s="10" t="s">
        <v>0</v>
      </c>
      <c r="U37" s="10" t="s">
        <v>6</v>
      </c>
      <c r="V37" s="10" t="s">
        <v>79</v>
      </c>
      <c r="W37" s="10" t="s">
        <v>82</v>
      </c>
      <c r="X37" s="43" t="s">
        <v>83</v>
      </c>
    </row>
    <row r="38" spans="2:27" ht="12.75" customHeight="1" thickBot="1" x14ac:dyDescent="0.25">
      <c r="B38" s="4"/>
      <c r="N38" s="5"/>
      <c r="S38" s="14"/>
      <c r="T38" s="44">
        <f>+YEAR($F$6)</f>
        <v>1900</v>
      </c>
      <c r="U38" s="44">
        <f>MONTH($F$6)</f>
        <v>1</v>
      </c>
      <c r="V38" s="44">
        <f>DAY($F$6)</f>
        <v>0</v>
      </c>
      <c r="W38" s="44">
        <f>+HOUR(H6)</f>
        <v>0</v>
      </c>
      <c r="X38" s="45">
        <f>+MINUTE(H6)</f>
        <v>0</v>
      </c>
    </row>
    <row r="39" spans="2:27" ht="12.75" customHeight="1" thickBot="1" x14ac:dyDescent="0.25">
      <c r="B39" s="4"/>
      <c r="D39" s="76" t="s">
        <v>89</v>
      </c>
      <c r="E39" s="70" t="s">
        <v>90</v>
      </c>
      <c r="F39" s="20"/>
      <c r="G39" s="20"/>
      <c r="H39" s="71"/>
      <c r="I39" s="11"/>
      <c r="J39" s="69" t="s">
        <v>91</v>
      </c>
      <c r="L39" s="69" t="s">
        <v>109</v>
      </c>
      <c r="N39" s="5"/>
      <c r="S39" s="4"/>
      <c r="W39" s="47">
        <f>+IF(AND(W38=23,X38&gt;0),W38,IF(AND(W38&lt;24,X38&gt;0),W38+1,W38))</f>
        <v>0</v>
      </c>
      <c r="X39" s="5"/>
    </row>
    <row r="40" spans="2:27" ht="12.75" customHeight="1" thickBot="1" x14ac:dyDescent="0.25">
      <c r="B40" s="4"/>
      <c r="D40" s="73"/>
      <c r="E40" s="262"/>
      <c r="F40" s="263"/>
      <c r="G40" s="263"/>
      <c r="H40" s="264"/>
      <c r="J40" s="68"/>
      <c r="L40" s="112" t="str">
        <f>IF(ISERROR(VLOOKUP(E40,$S$52:$T$77,2,FALSE)),"",VLOOKUP(E40,$S$52:$T$77,2,FALSE))</f>
        <v/>
      </c>
      <c r="N40" s="5"/>
      <c r="S40" s="16" t="s">
        <v>84</v>
      </c>
      <c r="T40" s="18"/>
      <c r="U40" s="18"/>
      <c r="V40" s="19"/>
      <c r="W40" s="46">
        <f>IF(U35=1,ROUNDDOWN(24*(H7-H6),0),24-W39)</f>
        <v>0</v>
      </c>
      <c r="X40" s="8"/>
      <c r="Z40" s="16" t="s">
        <v>88</v>
      </c>
      <c r="AA40" s="49">
        <f>+IF(W40&gt;=14,VLOOKUP($T$31,Pauschalen!$E$6:$M$230,5,FALSE),IF(W40&gt;=8,VLOOKUP($T$31,Pauschalen!$E$6:$M$230,4,FALSE),0))</f>
        <v>0</v>
      </c>
    </row>
    <row r="41" spans="2:27" ht="12.75" customHeight="1" thickBot="1" x14ac:dyDescent="0.25">
      <c r="B41" s="4"/>
      <c r="D41" s="74"/>
      <c r="E41" s="259"/>
      <c r="F41" s="260"/>
      <c r="G41" s="260"/>
      <c r="H41" s="261"/>
      <c r="J41" s="66"/>
      <c r="L41" s="113" t="str">
        <f t="shared" ref="L41:L48" si="0">IF(ISERROR(VLOOKUP(E41,$S$52:$T$77,2,FALSE)),"",VLOOKUP(E41,$S$52:$T$77,2,FALSE))</f>
        <v/>
      </c>
      <c r="N41" s="5"/>
    </row>
    <row r="42" spans="2:27" ht="12.75" customHeight="1" x14ac:dyDescent="0.2">
      <c r="B42" s="4"/>
      <c r="D42" s="74"/>
      <c r="E42" s="259"/>
      <c r="F42" s="260"/>
      <c r="G42" s="260"/>
      <c r="H42" s="261"/>
      <c r="J42" s="66"/>
      <c r="L42" s="113" t="str">
        <f t="shared" si="0"/>
        <v/>
      </c>
      <c r="N42" s="5"/>
      <c r="S42" s="12" t="s">
        <v>85</v>
      </c>
      <c r="T42" s="10" t="s">
        <v>0</v>
      </c>
      <c r="U42" s="10" t="s">
        <v>6</v>
      </c>
      <c r="V42" s="10" t="s">
        <v>79</v>
      </c>
      <c r="W42" s="10" t="s">
        <v>82</v>
      </c>
      <c r="X42" s="43" t="s">
        <v>83</v>
      </c>
    </row>
    <row r="43" spans="2:27" ht="12.75" customHeight="1" thickBot="1" x14ac:dyDescent="0.25">
      <c r="B43" s="4"/>
      <c r="D43" s="74"/>
      <c r="E43" s="259"/>
      <c r="F43" s="260"/>
      <c r="G43" s="260"/>
      <c r="H43" s="261"/>
      <c r="J43" s="66"/>
      <c r="L43" s="113" t="str">
        <f t="shared" si="0"/>
        <v/>
      </c>
      <c r="N43" s="5"/>
      <c r="S43" s="14"/>
      <c r="T43" s="44">
        <f>+YEAR($F$7)</f>
        <v>1900</v>
      </c>
      <c r="U43" s="44">
        <f>MONTH($F$7)</f>
        <v>1</v>
      </c>
      <c r="V43" s="44">
        <f>DAY($F$7)</f>
        <v>0</v>
      </c>
      <c r="W43" s="44">
        <f>+HOUR(H7)</f>
        <v>0</v>
      </c>
      <c r="X43" s="45">
        <f>+MINUTE(H7)</f>
        <v>0</v>
      </c>
    </row>
    <row r="44" spans="2:27" ht="12.75" customHeight="1" thickBot="1" x14ac:dyDescent="0.25">
      <c r="B44" s="4"/>
      <c r="D44" s="74"/>
      <c r="E44" s="259"/>
      <c r="F44" s="260"/>
      <c r="G44" s="260"/>
      <c r="H44" s="261"/>
      <c r="J44" s="66"/>
      <c r="L44" s="113" t="str">
        <f t="shared" si="0"/>
        <v/>
      </c>
      <c r="N44" s="5"/>
      <c r="S44" s="4"/>
      <c r="W44" s="47">
        <f>+IF(AND(W43=23,X43&gt;0),23,IF(X43&gt;0,W43+1,W43))</f>
        <v>0</v>
      </c>
      <c r="X44" s="5"/>
    </row>
    <row r="45" spans="2:27" ht="12.75" customHeight="1" thickBot="1" x14ac:dyDescent="0.25">
      <c r="B45" s="4"/>
      <c r="D45" s="74"/>
      <c r="E45" s="259"/>
      <c r="F45" s="260"/>
      <c r="G45" s="260"/>
      <c r="H45" s="261"/>
      <c r="J45" s="66"/>
      <c r="L45" s="113" t="str">
        <f t="shared" si="0"/>
        <v/>
      </c>
      <c r="N45" s="5"/>
      <c r="S45" s="16" t="s">
        <v>84</v>
      </c>
      <c r="T45" s="18"/>
      <c r="U45" s="18"/>
      <c r="V45" s="19"/>
      <c r="W45" s="46">
        <f>+W44</f>
        <v>0</v>
      </c>
      <c r="X45" s="8"/>
      <c r="Z45" s="16" t="s">
        <v>88</v>
      </c>
      <c r="AA45" s="49">
        <f>+IF(W45&gt;=14,VLOOKUP($T$31,Pauschalen!$E$6:$M$230,5,FALSE),IF(W45&gt;=8,VLOOKUP($T$31,Pauschalen!$E$6:$M$230,4,FALSE),0))</f>
        <v>0</v>
      </c>
    </row>
    <row r="46" spans="2:27" ht="12.75" customHeight="1" thickBot="1" x14ac:dyDescent="0.25">
      <c r="B46" s="4"/>
      <c r="D46" s="74"/>
      <c r="E46" s="259"/>
      <c r="F46" s="260"/>
      <c r="G46" s="260"/>
      <c r="H46" s="261"/>
      <c r="J46" s="66"/>
      <c r="L46" s="113" t="str">
        <f t="shared" si="0"/>
        <v/>
      </c>
      <c r="N46" s="5"/>
    </row>
    <row r="47" spans="2:27" ht="12.75" customHeight="1" thickBot="1" x14ac:dyDescent="0.25">
      <c r="B47" s="4"/>
      <c r="D47" s="74"/>
      <c r="E47" s="259"/>
      <c r="F47" s="260"/>
      <c r="G47" s="260"/>
      <c r="H47" s="261"/>
      <c r="J47" s="66"/>
      <c r="L47" s="113" t="str">
        <f t="shared" si="0"/>
        <v/>
      </c>
      <c r="N47" s="5"/>
      <c r="S47" s="16" t="s">
        <v>87</v>
      </c>
      <c r="T47" s="18"/>
      <c r="U47" s="17"/>
      <c r="V47" s="48">
        <f>IF(U35=1,0,U35-2)</f>
        <v>0</v>
      </c>
      <c r="Z47" s="16" t="s">
        <v>88</v>
      </c>
      <c r="AA47" s="49">
        <f>VLOOKUP($T$31,Pauschalen!$E$6:$M$230,6,FALSE)</f>
        <v>28</v>
      </c>
    </row>
    <row r="48" spans="2:27" ht="12.75" customHeight="1" thickBot="1" x14ac:dyDescent="0.25">
      <c r="B48" s="4"/>
      <c r="D48" s="75"/>
      <c r="E48" s="265"/>
      <c r="F48" s="266"/>
      <c r="G48" s="266"/>
      <c r="H48" s="267"/>
      <c r="J48" s="67"/>
      <c r="L48" s="114" t="str">
        <f t="shared" si="0"/>
        <v/>
      </c>
      <c r="N48" s="5"/>
    </row>
    <row r="49" spans="2:22" ht="12.75" customHeight="1" thickBot="1" x14ac:dyDescent="0.25">
      <c r="B49" s="4"/>
      <c r="N49" s="5"/>
      <c r="S49" s="16" t="s">
        <v>102</v>
      </c>
      <c r="T49" s="18"/>
      <c r="U49" s="17"/>
      <c r="V49" s="48">
        <f>+IF(AND(V47=0,W38&gt;16,W43&lt;8),1,0)</f>
        <v>0</v>
      </c>
    </row>
    <row r="50" spans="2:22" ht="12.75" customHeight="1" thickBot="1" x14ac:dyDescent="0.25">
      <c r="B50" s="4"/>
      <c r="D50" s="55" t="s">
        <v>98</v>
      </c>
      <c r="L50" s="92"/>
      <c r="N50" s="5"/>
    </row>
    <row r="51" spans="2:22" ht="12.75" customHeight="1" thickBot="1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S51" s="37" t="s">
        <v>107</v>
      </c>
      <c r="T51" s="219" t="s">
        <v>172</v>
      </c>
    </row>
    <row r="52" spans="2:22" ht="12.75" customHeight="1" x14ac:dyDescent="0.2">
      <c r="S52" s="13" t="str">
        <f>IF(Stammdaten!T9="","",Stammdaten!T9)</f>
        <v>Mietwagen</v>
      </c>
      <c r="T52" s="220">
        <f>IF(Stammdaten!V9="","",Stammdaten!V9)</f>
        <v>0.19</v>
      </c>
    </row>
    <row r="53" spans="2:22" ht="12.75" customHeight="1" x14ac:dyDescent="0.2">
      <c r="B53" s="246" t="s">
        <v>138</v>
      </c>
      <c r="C53" s="246"/>
      <c r="D53" s="246"/>
      <c r="E53" s="172" t="s">
        <v>139</v>
      </c>
      <c r="F53" s="173" t="s">
        <v>125</v>
      </c>
      <c r="G53" s="245" t="s">
        <v>137</v>
      </c>
      <c r="H53" s="245"/>
      <c r="I53" s="245"/>
      <c r="S53" s="9" t="str">
        <f>IF(Stammdaten!T10="","",Stammdaten!T10)</f>
        <v>Bewirtungskosten</v>
      </c>
      <c r="T53" s="221">
        <f>IF(Stammdaten!V10="","",Stammdaten!V10)</f>
        <v>0.19</v>
      </c>
    </row>
    <row r="54" spans="2:22" ht="12.75" customHeight="1" x14ac:dyDescent="0.2">
      <c r="B54" s="116"/>
      <c r="S54" s="9" t="str">
        <f>IF(Stammdaten!T11="","",Stammdaten!T11)</f>
        <v>öffentliche Verkehrsmittel</v>
      </c>
      <c r="T54" s="221">
        <f>IF(Stammdaten!V11="","",Stammdaten!V11)</f>
        <v>0.19</v>
      </c>
    </row>
    <row r="55" spans="2:22" ht="12.75" customHeight="1" x14ac:dyDescent="0.2">
      <c r="B55" s="163" t="s">
        <v>402</v>
      </c>
      <c r="S55" s="9" t="str">
        <f>IF(Stammdaten!T12="","",Stammdaten!T12)</f>
        <v>Geschenke</v>
      </c>
      <c r="T55" s="221">
        <f>IF(Stammdaten!V12="","",Stammdaten!V12)</f>
        <v>0.19</v>
      </c>
    </row>
    <row r="56" spans="2:22" ht="12.75" customHeight="1" x14ac:dyDescent="0.2">
      <c r="B56" s="163" t="s">
        <v>118</v>
      </c>
      <c r="S56" s="9" t="str">
        <f>IF(Stammdaten!T13="","",Stammdaten!T13)</f>
        <v>Taxi 7%</v>
      </c>
      <c r="T56" s="221">
        <f>IF(Stammdaten!V13="","",Stammdaten!V13)</f>
        <v>7.0000000000000007E-2</v>
      </c>
    </row>
    <row r="57" spans="2:22" ht="12.75" customHeight="1" x14ac:dyDescent="0.2">
      <c r="B57" s="163" t="s">
        <v>110</v>
      </c>
      <c r="S57" s="9" t="str">
        <f>IF(Stammdaten!T14="","",Stammdaten!T14)</f>
        <v>Taxi 19%</v>
      </c>
      <c r="T57" s="221">
        <f>IF(Stammdaten!V14="","",Stammdaten!V14)</f>
        <v>0.19</v>
      </c>
    </row>
    <row r="58" spans="2:22" ht="12.75" customHeight="1" x14ac:dyDescent="0.2">
      <c r="S58" s="9" t="str">
        <f>IF(Stammdaten!T15="","",Stammdaten!T15)</f>
        <v>Kfz: Parkgebühren</v>
      </c>
      <c r="T58" s="221">
        <f>IF(Stammdaten!V15="","",Stammdaten!V15)</f>
        <v>0.19</v>
      </c>
    </row>
    <row r="59" spans="2:22" ht="12.75" customHeight="1" x14ac:dyDescent="0.2">
      <c r="S59" s="9" t="str">
        <f>IF(Stammdaten!T16="","",Stammdaten!T16)</f>
        <v>Telefon / Handy</v>
      </c>
      <c r="T59" s="221">
        <f>IF(Stammdaten!V16="","",Stammdaten!V16)</f>
        <v>0.19</v>
      </c>
    </row>
    <row r="60" spans="2:22" ht="12.75" customHeight="1" x14ac:dyDescent="0.2">
      <c r="S60" s="9" t="str">
        <f>IF(Stammdaten!T17="","",Stammdaten!T17)</f>
        <v>Kfz: sonstige Kosten</v>
      </c>
      <c r="T60" s="221">
        <f>IF(Stammdaten!V17="","",Stammdaten!V17)</f>
        <v>0.19</v>
      </c>
    </row>
    <row r="61" spans="2:22" ht="12.75" customHeight="1" x14ac:dyDescent="0.2">
      <c r="S61" s="9" t="str">
        <f>IF(Stammdaten!T18="","",Stammdaten!T18)</f>
        <v>Kfz: Treibstoff</v>
      </c>
      <c r="T61" s="221">
        <f>IF(Stammdaten!V18="","",Stammdaten!V18)</f>
        <v>0.19</v>
      </c>
    </row>
    <row r="62" spans="2:22" ht="12.75" customHeight="1" x14ac:dyDescent="0.2">
      <c r="S62" s="9" t="str">
        <f>IF(Stammdaten!T19="","",Stammdaten!T19)</f>
        <v/>
      </c>
      <c r="T62" s="221" t="str">
        <f>IF(Stammdaten!V19="","",Stammdaten!V19)</f>
        <v/>
      </c>
    </row>
    <row r="63" spans="2:22" ht="12.75" customHeight="1" x14ac:dyDescent="0.2">
      <c r="S63" s="9" t="str">
        <f>IF(Stammdaten!T20="","",Stammdaten!T20)</f>
        <v/>
      </c>
      <c r="T63" s="221" t="str">
        <f>IF(Stammdaten!V20="","",Stammdaten!V20)</f>
        <v/>
      </c>
    </row>
    <row r="64" spans="2:22" ht="12.75" customHeight="1" x14ac:dyDescent="0.2">
      <c r="S64" s="9" t="str">
        <f>IF(Stammdaten!T21="","",Stammdaten!T21)</f>
        <v/>
      </c>
      <c r="T64" s="221" t="str">
        <f>IF(Stammdaten!V21="","",Stammdaten!V21)</f>
        <v/>
      </c>
    </row>
    <row r="65" spans="19:20" ht="12.75" customHeight="1" x14ac:dyDescent="0.2">
      <c r="S65" s="9" t="str">
        <f>IF(Stammdaten!T22="","",Stammdaten!T22)</f>
        <v/>
      </c>
      <c r="T65" s="221" t="str">
        <f>IF(Stammdaten!V22="","",Stammdaten!V22)</f>
        <v/>
      </c>
    </row>
    <row r="66" spans="19:20" ht="12.75" customHeight="1" x14ac:dyDescent="0.2">
      <c r="S66" s="9" t="str">
        <f>IF(Stammdaten!T23="","",Stammdaten!T23)</f>
        <v/>
      </c>
      <c r="T66" s="221" t="str">
        <f>IF(Stammdaten!V23="","",Stammdaten!V23)</f>
        <v/>
      </c>
    </row>
    <row r="67" spans="19:20" ht="12.75" customHeight="1" x14ac:dyDescent="0.2">
      <c r="S67" s="9" t="str">
        <f>IF(Stammdaten!T24="","",Stammdaten!T24)</f>
        <v/>
      </c>
      <c r="T67" s="221" t="str">
        <f>IF(Stammdaten!V24="","",Stammdaten!V24)</f>
        <v/>
      </c>
    </row>
    <row r="68" spans="19:20" ht="12.75" customHeight="1" x14ac:dyDescent="0.2">
      <c r="S68" s="9" t="str">
        <f>IF(Stammdaten!T25="","",Stammdaten!T25)</f>
        <v/>
      </c>
      <c r="T68" s="221" t="str">
        <f>IF(Stammdaten!V25="","",Stammdaten!V25)</f>
        <v/>
      </c>
    </row>
    <row r="69" spans="19:20" ht="12.75" customHeight="1" x14ac:dyDescent="0.2">
      <c r="S69" s="9" t="str">
        <f>IF(Stammdaten!T26="","",Stammdaten!T26)</f>
        <v/>
      </c>
      <c r="T69" s="221" t="str">
        <f>IF(Stammdaten!V26="","",Stammdaten!V26)</f>
        <v/>
      </c>
    </row>
    <row r="70" spans="19:20" ht="12.75" customHeight="1" x14ac:dyDescent="0.2">
      <c r="S70" s="9" t="str">
        <f>IF(Stammdaten!T27="","",Stammdaten!T27)</f>
        <v/>
      </c>
      <c r="T70" s="221" t="str">
        <f>IF(Stammdaten!V27="","",Stammdaten!V27)</f>
        <v/>
      </c>
    </row>
    <row r="71" spans="19:20" ht="12.75" customHeight="1" x14ac:dyDescent="0.2">
      <c r="S71" s="9" t="str">
        <f>IF(Stammdaten!T28="","",Stammdaten!T28)</f>
        <v/>
      </c>
      <c r="T71" s="221" t="str">
        <f>IF(Stammdaten!V28="","",Stammdaten!V28)</f>
        <v/>
      </c>
    </row>
    <row r="72" spans="19:20" ht="12.75" customHeight="1" x14ac:dyDescent="0.2">
      <c r="S72" s="9" t="str">
        <f>IF(Stammdaten!T29="","",Stammdaten!T29)</f>
        <v/>
      </c>
      <c r="T72" s="221" t="str">
        <f>IF(Stammdaten!V29="","",Stammdaten!V29)</f>
        <v/>
      </c>
    </row>
    <row r="73" spans="19:20" ht="12.75" customHeight="1" x14ac:dyDescent="0.2">
      <c r="S73" s="9" t="str">
        <f>IF(Stammdaten!T30="","",Stammdaten!T30)</f>
        <v/>
      </c>
      <c r="T73" s="221" t="str">
        <f>IF(Stammdaten!V30="","",Stammdaten!V30)</f>
        <v/>
      </c>
    </row>
    <row r="74" spans="19:20" ht="12.75" customHeight="1" x14ac:dyDescent="0.2">
      <c r="S74" s="9" t="str">
        <f>IF(Stammdaten!T31="","",Stammdaten!T31)</f>
        <v/>
      </c>
      <c r="T74" s="221" t="str">
        <f>IF(Stammdaten!V31="","",Stammdaten!V31)</f>
        <v/>
      </c>
    </row>
    <row r="75" spans="19:20" ht="12.75" customHeight="1" x14ac:dyDescent="0.2">
      <c r="S75" s="9" t="str">
        <f>IF(Stammdaten!T32="","",Stammdaten!T32)</f>
        <v/>
      </c>
      <c r="T75" s="221" t="str">
        <f>IF(Stammdaten!V32="","",Stammdaten!V32)</f>
        <v/>
      </c>
    </row>
    <row r="76" spans="19:20" ht="12.75" customHeight="1" x14ac:dyDescent="0.2">
      <c r="S76" s="9" t="str">
        <f>IF(Stammdaten!T33="","",Stammdaten!T33)</f>
        <v/>
      </c>
      <c r="T76" s="221" t="str">
        <f>IF(Stammdaten!V33="","",Stammdaten!V33)</f>
        <v/>
      </c>
    </row>
    <row r="77" spans="19:20" ht="12.75" customHeight="1" thickBot="1" x14ac:dyDescent="0.25">
      <c r="S77" s="15" t="str">
        <f>IF(Stammdaten!T34="","",Stammdaten!T34)</f>
        <v/>
      </c>
      <c r="T77" s="222" t="str">
        <f>IF(Stammdaten!V34="","",Stammdaten!V34)</f>
        <v/>
      </c>
    </row>
  </sheetData>
  <sheetProtection sheet="1" objects="1" scenarios="1"/>
  <mergeCells count="14">
    <mergeCell ref="B2:N2"/>
    <mergeCell ref="G53:I53"/>
    <mergeCell ref="B53:D53"/>
    <mergeCell ref="F4:H4"/>
    <mergeCell ref="E12:M14"/>
    <mergeCell ref="E43:H43"/>
    <mergeCell ref="E40:H40"/>
    <mergeCell ref="E41:H41"/>
    <mergeCell ref="E42:H42"/>
    <mergeCell ref="E47:H47"/>
    <mergeCell ref="E48:H48"/>
    <mergeCell ref="E44:H44"/>
    <mergeCell ref="E45:H45"/>
    <mergeCell ref="E46:H46"/>
  </mergeCells>
  <phoneticPr fontId="0" type="noConversion"/>
  <conditionalFormatting sqref="J29">
    <cfRule type="expression" dxfId="14" priority="1" stopIfTrue="1">
      <formula>$U$32=1</formula>
    </cfRule>
  </conditionalFormatting>
  <conditionalFormatting sqref="L28 L18:L20">
    <cfRule type="cellIs" dxfId="13" priority="3" stopIfTrue="1" operator="greaterThan">
      <formula>0.001</formula>
    </cfRule>
  </conditionalFormatting>
  <conditionalFormatting sqref="L29:L30">
    <cfRule type="expression" dxfId="12" priority="4" stopIfTrue="1">
      <formula>$U$32=0</formula>
    </cfRule>
    <cfRule type="expression" dxfId="11" priority="5" stopIfTrue="1">
      <formula>$U$32</formula>
    </cfRule>
  </conditionalFormatting>
  <conditionalFormatting sqref="J4:M4">
    <cfRule type="expression" dxfId="10" priority="10" stopIfTrue="1">
      <formula>$U$5="Fehler"</formula>
    </cfRule>
  </conditionalFormatting>
  <conditionalFormatting sqref="D8:L8">
    <cfRule type="expression" dxfId="9" priority="19" stopIfTrue="1">
      <formula>$D$8&lt;&gt;""</formula>
    </cfRule>
  </conditionalFormatting>
  <dataValidations count="21">
    <dataValidation type="date" allowBlank="1" showErrorMessage="1" errorTitle="Belegdatum eingeben" error="Hier bitte das Belegdatum eingeben." sqref="D44" xr:uid="{00000000-0002-0000-0100-000000000000}">
      <formula1>F10-10</formula1>
      <formula2>#REF!</formula2>
    </dataValidation>
    <dataValidation type="date" allowBlank="1" showErrorMessage="1" errorTitle="Belegdatum eingeben" error="Hier bitte das Belegdatum eingeben." sqref="D48" xr:uid="{00000000-0002-0000-0100-000001000000}">
      <formula1>#REF!-10</formula1>
      <formula2>F11</formula2>
    </dataValidation>
    <dataValidation type="decimal" allowBlank="1" showErrorMessage="1" errorTitle="Vorschuss eingeben" error="Hier bitte Vorschüsse eingeben." sqref="L50" xr:uid="{00000000-0002-0000-0100-000002000000}">
      <formula1>0</formula1>
      <formula2>9999999</formula2>
    </dataValidation>
    <dataValidation type="list" allowBlank="1" showInputMessage="1" showErrorMessage="1" sqref="E40:E48" xr:uid="{00000000-0002-0000-0100-000003000000}">
      <formula1>$S$52:$S$77</formula1>
    </dataValidation>
    <dataValidation type="decimal" allowBlank="1" showErrorMessage="1" errorTitle="Kosten eingeben" error="Hier bitte die entsprechenden Kosten eingeben." sqref="J40:J48" xr:uid="{00000000-0002-0000-0100-000004000000}">
      <formula1>0</formula1>
      <formula2>10000</formula2>
    </dataValidation>
    <dataValidation type="date" allowBlank="1" showErrorMessage="1" errorTitle="Belegdatum eingeben" error="Hier bitte das Belegdatum eingeben." sqref="D45:D47" xr:uid="{00000000-0002-0000-0100-000005000000}">
      <formula1>#REF!-10</formula1>
      <formula2>#REF!</formula2>
    </dataValidation>
    <dataValidation type="date" allowBlank="1" showErrorMessage="1" errorTitle="Belegdatum eingeben" error="Hier bitte das Belegdatum eingeben." sqref="D40:D43" xr:uid="{00000000-0002-0000-0100-000006000000}">
      <formula1>F6-10</formula1>
      <formula2>F7</formula2>
    </dataValidation>
    <dataValidation type="decimal" allowBlank="1" showInputMessage="1" showErrorMessage="1" errorTitle="USt-Satz eingeben" error="Hier bitte einen gültigen USt-Satz eingeben (zwischen 0 und 100%)" sqref="L41:L48" xr:uid="{00000000-0002-0000-0100-000007000000}">
      <formula1>0</formula1>
      <formula2>1</formula2>
    </dataValidation>
    <dataValidation type="whole" allowBlank="1" showErrorMessage="1" errorTitle="Anzahl Übernachtungen" error="Hier bitte die Anzahl der Übernachtungen eingeben." sqref="J28" xr:uid="{00000000-0002-0000-0100-000008000000}">
      <formula1>0</formula1>
      <formula2>200</formula2>
    </dataValidation>
    <dataValidation type="decimal" allowBlank="1" showErrorMessage="1" errorTitle="Übernachtungskosten" error="Hier bitte die Übernachtungskosten eingeben." sqref="J29" xr:uid="{00000000-0002-0000-0100-000009000000}">
      <formula1>0</formula1>
      <formula2>25000</formula2>
    </dataValidation>
    <dataValidation type="whole" allowBlank="1" showInputMessage="1" showErrorMessage="1" errorTitle="Anzahl Mahzeiten eingeben" error="Wie bisher ist der Abzug der Verpflegungsmehraufwendungen auf die ersten drei Monate einer längerfristigen beruflichen Tätigkeit an derselben Tätigkeitsstätte beschränkt. Der Rechner ist in diesen Fällen nicht anwendbar." sqref="H33:H35 J33:J35 L33:L35" xr:uid="{00000000-0002-0000-0100-00000A000000}">
      <formula1>0</formula1>
      <formula2>95</formula2>
    </dataValidation>
    <dataValidation allowBlank="1" showInputMessage="1" showErrorMessage="1" errorTitle="USt-Satz eingeben" error="Hier bitte einen gültigen USt-Satz eingeben (zwischen 0 und 100%)" sqref="L40" xr:uid="{00000000-0002-0000-0100-00000B000000}"/>
    <dataValidation type="decimal" allowBlank="1" showErrorMessage="1" errorTitle="Kosten der Bahnfahrten" error="Hier bitte die Kosten für die Bahnfahrten eingeben." sqref="J18" xr:uid="{351A23BD-371B-41DA-AE5B-E546D1761706}">
      <formula1>0</formula1>
      <formula2>10000</formula2>
    </dataValidation>
    <dataValidation type="decimal" allowBlank="1" showErrorMessage="1" errorTitle="Kosten des Fluges" error="Hier bitte die Kosten für den Flug eingeben." sqref="J19" xr:uid="{AC8EC427-520A-448D-80D2-12160844B56C}">
      <formula1>0</formula1>
      <formula2>10000</formula2>
    </dataValidation>
    <dataValidation type="decimal" allowBlank="1" showErrorMessage="1" errorTitle="Autokosten" error="Hier bitte die Kosten für ein Mietfahrzeug eingeben." sqref="J20" xr:uid="{6100ED07-2A0D-417F-86AD-9507C9FE8B17}">
      <formula1>0</formula1>
      <formula2>10000</formula2>
    </dataValidation>
    <dataValidation type="whole" allowBlank="1" showErrorMessage="1" errorTitle="Gefahrende Kilometer" error="Hier bitte die mit dem Privat-PKW gefahrenen Kilometer eingeben." sqref="J24" xr:uid="{00000000-0002-0000-0100-00000F000000}">
      <formula1>0</formula1>
      <formula2>5000</formula2>
    </dataValidation>
    <dataValidation type="list" allowBlank="1" showInputMessage="1" showErrorMessage="1" sqref="F4" xr:uid="{00000000-0002-0000-0100-000010000000}">
      <formula1>$S$6:$S$26</formula1>
    </dataValidation>
    <dataValidation type="date" allowBlank="1" showErrorMessage="1" errorTitle="Abreisedatum eingeben" error="Hier bitte das Abreisedatum eingeben." sqref="F6" xr:uid="{F3AC8F4C-48F8-4F7C-8373-CCC8DE24A53D}">
      <formula1>39814</formula1>
      <formula2>46022</formula2>
    </dataValidation>
    <dataValidation type="time" allowBlank="1" showErrorMessage="1" errorTitle="Abreiseuhrzeit" error="Hier bitte die Zeit am Abreisetag eingeben." sqref="H6:H7" xr:uid="{08AD79E0-A8EC-47E4-9B7A-6323CF7DB4F4}">
      <formula1>0</formula1>
      <formula2>0.999305555555556</formula2>
    </dataValidation>
    <dataValidation type="decimal" allowBlank="1" showErrorMessage="1" errorTitle="USt-Satz eingeben" error="Hier bitte den USt-Satz eingeben." sqref="L6" xr:uid="{00000000-0002-0000-0100-000013000000}">
      <formula1>0</formula1>
      <formula2>0.35</formula2>
    </dataValidation>
    <dataValidation type="date" allowBlank="1" showErrorMessage="1" errorTitle="Rückreisedatum eingeben" error="Hier bitte das Rückreisedatum eingeben." sqref="F7" xr:uid="{5AB8A14F-2BB7-4CF6-BE61-1FFEC85C4300}">
      <formula1>F6</formula1>
      <formula2>46022</formula2>
    </dataValidation>
  </dataValidations>
  <hyperlinks>
    <hyperlink ref="B53:D53" location="Startseite!Startseite" display="&lt;&lt; Startseite" xr:uid="{00000000-0004-0000-0100-000000000000}"/>
    <hyperlink ref="E53" location="HilfeB3" display="Hilfe?" xr:uid="{00000000-0004-0000-0100-000001000000}"/>
    <hyperlink ref="F53" location="BeispielB2" display="Beispiel" xr:uid="{00000000-0004-0000-0100-000002000000}"/>
    <hyperlink ref="G53:I53" location="StammdatenB3" display="Stammdaten" xr:uid="{00000000-0004-0000-0100-000003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Drop Down 2">
              <controlPr defaultSize="0" autoLine="0" autoPict="0">
                <anchor moveWithCells="1">
                  <from>
                    <xdr:col>4</xdr:col>
                    <xdr:colOff>400050</xdr:colOff>
                    <xdr:row>8</xdr:row>
                    <xdr:rowOff>0</xdr:rowOff>
                  </from>
                  <to>
                    <xdr:col>8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7</xdr:row>
                    <xdr:rowOff>152400</xdr:rowOff>
                  </from>
                  <to>
                    <xdr:col>13</xdr:col>
                    <xdr:colOff>28575</xdr:colOff>
                    <xdr:row>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autoPageBreaks="0" fitToPage="1"/>
  </sheetPr>
  <dimension ref="B1:AJ82"/>
  <sheetViews>
    <sheetView showGridLines="0" zoomScaleNormal="100" zoomScaleSheetLayoutView="75" workbookViewId="0">
      <selection activeCell="AK49" sqref="AK49"/>
    </sheetView>
  </sheetViews>
  <sheetFormatPr baseColWidth="10" defaultColWidth="11.42578125" defaultRowHeight="12.75" customHeight="1" x14ac:dyDescent="0.2"/>
  <cols>
    <col min="1" max="1" width="11.42578125" style="3" customWidth="1"/>
    <col min="2" max="2" width="1.7109375" style="3" customWidth="1"/>
    <col min="3" max="3" width="2.85546875" style="3" customWidth="1"/>
    <col min="4" max="4" width="13.28515625" style="3" customWidth="1"/>
    <col min="5" max="5" width="6.28515625" style="3" customWidth="1"/>
    <col min="6" max="6" width="10.85546875" style="3" customWidth="1"/>
    <col min="7" max="7" width="3.5703125" style="3" bestFit="1" customWidth="1"/>
    <col min="8" max="8" width="8.140625" style="3" bestFit="1" customWidth="1"/>
    <col min="9" max="9" width="1.7109375" style="3" customWidth="1"/>
    <col min="10" max="10" width="9.42578125" style="3" customWidth="1"/>
    <col min="11" max="11" width="1.7109375" style="3" customWidth="1"/>
    <col min="12" max="12" width="8.140625" style="3" bestFit="1" customWidth="1"/>
    <col min="13" max="13" width="1.7109375" style="3" customWidth="1"/>
    <col min="14" max="14" width="9.42578125" style="3" customWidth="1"/>
    <col min="15" max="15" width="1.7109375" style="3" customWidth="1"/>
    <col min="16" max="16" width="9.42578125" style="3" customWidth="1"/>
    <col min="17" max="17" width="1.7109375" style="3" customWidth="1"/>
    <col min="18" max="18" width="9.42578125" style="3" customWidth="1"/>
    <col min="19" max="19" width="1.7109375" style="3" customWidth="1"/>
    <col min="20" max="20" width="1.85546875" style="3" customWidth="1"/>
    <col min="21" max="23" width="11.42578125" style="3" customWidth="1"/>
    <col min="24" max="24" width="11.42578125" style="3" hidden="1" customWidth="1"/>
    <col min="25" max="25" width="26.5703125" style="3" hidden="1" customWidth="1"/>
    <col min="26" max="30" width="11.42578125" style="3" hidden="1" customWidth="1"/>
    <col min="31" max="31" width="3.140625" style="3" hidden="1" customWidth="1"/>
    <col min="32" max="36" width="11.42578125" style="3" hidden="1" customWidth="1"/>
    <col min="37" max="16384" width="11.42578125" style="3"/>
  </cols>
  <sheetData>
    <row r="1" spans="2:27" ht="12.75" customHeight="1" thickBot="1" x14ac:dyDescent="0.25">
      <c r="T1" s="54" t="s">
        <v>123</v>
      </c>
    </row>
    <row r="2" spans="2:27" ht="16.5" hidden="1" customHeight="1" thickBot="1" x14ac:dyDescent="0.25">
      <c r="B2" s="242" t="s">
        <v>112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4"/>
    </row>
    <row r="3" spans="2:27" ht="12.75" hidden="1" customHeight="1" x14ac:dyDescent="0.2">
      <c r="B3" s="4"/>
      <c r="T3" s="5"/>
    </row>
    <row r="4" spans="2:27" ht="12.75" hidden="1" customHeight="1" thickBot="1" x14ac:dyDescent="0.25">
      <c r="B4" s="4"/>
      <c r="D4" s="3" t="s">
        <v>111</v>
      </c>
      <c r="F4" s="274">
        <f>+Eingaben!F4</f>
        <v>0</v>
      </c>
      <c r="G4" s="275"/>
      <c r="H4" s="276"/>
      <c r="J4" s="3" t="str">
        <f>+IF(AA5="Fehler","&lt;- Mitarbeiter wählen","")</f>
        <v>&lt;- Mitarbeiter wählen</v>
      </c>
      <c r="T4" s="5"/>
    </row>
    <row r="5" spans="2:27" ht="12.75" hidden="1" customHeight="1" thickBot="1" x14ac:dyDescent="0.25">
      <c r="B5" s="4"/>
      <c r="T5" s="5"/>
      <c r="Y5" s="37" t="s">
        <v>61</v>
      </c>
      <c r="AA5" s="3" t="str">
        <f>IF(ISERROR(VLOOKUP($F$4,Stammdaten!$C$13:$O$34,1,FALSE)&amp;", "&amp;VLOOKUP($F$4,Stammdaten!$C$13:$O$34,7,FALSE)&amp;", "&amp;VLOOKUP($F$4,Stammdaten!$C$13:$O$34,8,FALSE)&amp;" "&amp;VLOOKUP($F$4,Stammdaten!$C$13:$O$34,9,FALSE)),"Fehler",VLOOKUP($F$4,Stammdaten!$C$13:$O$34,1,FALSE)&amp;", "&amp;VLOOKUP($F$4,Stammdaten!$C$13:$O$34,7,FALSE)&amp;", "&amp;VLOOKUP($F$4,Stammdaten!$C$13:$O$34,8,FALSE)&amp;" "&amp;VLOOKUP($F$4,Stammdaten!$C$13:$O$34,9,FALSE))</f>
        <v>Fehler</v>
      </c>
    </row>
    <row r="6" spans="2:27" ht="12.75" hidden="1" customHeight="1" x14ac:dyDescent="0.2">
      <c r="B6" s="4"/>
      <c r="D6" s="3" t="s">
        <v>64</v>
      </c>
      <c r="F6" s="136">
        <f>+Eingaben!F6</f>
        <v>0</v>
      </c>
      <c r="G6" s="47" t="s">
        <v>63</v>
      </c>
      <c r="H6" s="137">
        <f>+Eingaben!H6</f>
        <v>0</v>
      </c>
      <c r="K6" s="54" t="s">
        <v>103</v>
      </c>
      <c r="L6" s="138">
        <f>+Eingaben!L6</f>
        <v>0</v>
      </c>
      <c r="T6" s="5"/>
      <c r="Y6" s="36" t="str">
        <f>+IF(Stammdaten!G13="","",Stammdaten!G13)</f>
        <v>Mustermann, Max</v>
      </c>
    </row>
    <row r="7" spans="2:27" ht="12.75" hidden="1" customHeight="1" x14ac:dyDescent="0.2">
      <c r="B7" s="4"/>
      <c r="D7" s="3" t="s">
        <v>65</v>
      </c>
      <c r="F7" s="136">
        <f>+Eingaben!F7</f>
        <v>0</v>
      </c>
      <c r="G7" s="47" t="s">
        <v>63</v>
      </c>
      <c r="H7" s="137">
        <f>+Eingaben!H7</f>
        <v>0</v>
      </c>
      <c r="J7" s="115" t="str">
        <f>IF(F7&lt;F6,"Datum prüfen",IF(AND(F7=F6,H7&lt;H6),"Zeiten prüfen",""))</f>
        <v/>
      </c>
      <c r="T7" s="5"/>
      <c r="Y7" s="9" t="str">
        <f>+IF(Stammdaten!G14="","",Stammdaten!G14)</f>
        <v>Müller, Hein-Otto</v>
      </c>
    </row>
    <row r="8" spans="2:27" ht="12.75" hidden="1" customHeight="1" thickBot="1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Y8" s="9" t="str">
        <f>+IF(Stammdaten!G15="","",Stammdaten!G15)</f>
        <v>Meier, Otti</v>
      </c>
    </row>
    <row r="9" spans="2:27" ht="17.25" customHeight="1" thickBot="1" x14ac:dyDescent="0.25">
      <c r="B9" s="188" t="s">
        <v>404</v>
      </c>
      <c r="C9" s="187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9"/>
      <c r="Y9" s="9" t="str">
        <f>+IF(Stammdaten!G16="","",Stammdaten!G16)</f>
        <v/>
      </c>
    </row>
    <row r="10" spans="2:27" ht="12.75" customHeight="1" x14ac:dyDescent="0.2">
      <c r="B10" s="4"/>
      <c r="T10" s="5"/>
      <c r="Y10" s="9" t="str">
        <f>+IF(Stammdaten!G17="","",Stammdaten!G17)</f>
        <v/>
      </c>
    </row>
    <row r="11" spans="2:27" ht="12.75" customHeight="1" x14ac:dyDescent="0.2">
      <c r="B11" s="4"/>
      <c r="D11" s="3" t="str">
        <f>IF(ISERROR("Name/Adresse des Mitarbeiters: "&amp;AA5),"","Name/Adresse des Mitarbeiters: "&amp;AA5)</f>
        <v>Name/Adresse des Mitarbeiters: Fehler</v>
      </c>
      <c r="T11" s="5"/>
      <c r="Y11" s="9" t="str">
        <f>+IF(Stammdaten!G18="","",Stammdaten!G18)</f>
        <v/>
      </c>
    </row>
    <row r="12" spans="2:27" ht="15" customHeight="1" x14ac:dyDescent="0.2">
      <c r="B12" s="4"/>
      <c r="D12" s="11" t="s">
        <v>62</v>
      </c>
      <c r="E12" s="11"/>
      <c r="F12" s="58">
        <f>+F6</f>
        <v>0</v>
      </c>
      <c r="G12" s="3" t="s">
        <v>63</v>
      </c>
      <c r="H12" s="57">
        <f>+H6</f>
        <v>0</v>
      </c>
      <c r="I12" s="3" t="s">
        <v>66</v>
      </c>
      <c r="K12" s="53" t="s">
        <v>67</v>
      </c>
      <c r="L12" s="50">
        <f>+F7</f>
        <v>0</v>
      </c>
      <c r="N12" s="47" t="s">
        <v>63</v>
      </c>
      <c r="O12" s="277">
        <f>+H7</f>
        <v>0</v>
      </c>
      <c r="P12" s="277"/>
      <c r="Q12" s="3" t="s">
        <v>66</v>
      </c>
      <c r="T12" s="5"/>
      <c r="Y12" s="9" t="str">
        <f>+IF(Stammdaten!G19="","",Stammdaten!G19)</f>
        <v/>
      </c>
    </row>
    <row r="13" spans="2:27" ht="12.75" customHeight="1" x14ac:dyDescent="0.2">
      <c r="B13" s="4"/>
      <c r="D13" s="3" t="s">
        <v>92</v>
      </c>
      <c r="E13" s="11"/>
      <c r="F13" s="278" t="str">
        <f>+AA31</f>
        <v>Deutschland</v>
      </c>
      <c r="G13" s="279"/>
      <c r="H13" s="280"/>
      <c r="J13" s="3" t="str">
        <f>+IF(AA32=1,"mit Pauschalen abrechnen","")</f>
        <v>mit Pauschalen abrechnen</v>
      </c>
      <c r="K13" s="53"/>
      <c r="L13" s="50"/>
      <c r="N13" s="47"/>
      <c r="O13" s="57"/>
      <c r="P13" s="57"/>
      <c r="T13" s="5"/>
      <c r="Y13" s="9" t="str">
        <f>+IF(Stammdaten!G20="","",Stammdaten!G20)</f>
        <v/>
      </c>
    </row>
    <row r="14" spans="2:27" ht="12.75" customHeight="1" x14ac:dyDescent="0.2">
      <c r="B14" s="4"/>
      <c r="T14" s="5"/>
      <c r="Y14" s="9" t="str">
        <f>+IF(Stammdaten!G21="","",Stammdaten!G21)</f>
        <v/>
      </c>
    </row>
    <row r="15" spans="2:27" ht="12.75" customHeight="1" x14ac:dyDescent="0.2">
      <c r="B15" s="4"/>
      <c r="D15" s="3" t="s">
        <v>93</v>
      </c>
      <c r="E15" s="250" t="str">
        <f>IF(Eingaben!E12="","",Eingaben!E12)</f>
        <v/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2"/>
      <c r="T15" s="5"/>
      <c r="Y15" s="9" t="str">
        <f>+IF(Stammdaten!G22="","",Stammdaten!G22)</f>
        <v/>
      </c>
    </row>
    <row r="16" spans="2:27" ht="12.75" customHeight="1" x14ac:dyDescent="0.2">
      <c r="B16" s="4"/>
      <c r="E16" s="253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5"/>
      <c r="T16" s="5"/>
      <c r="Y16" s="9" t="str">
        <f>+IF(Stammdaten!G23="","",Stammdaten!G23)</f>
        <v/>
      </c>
    </row>
    <row r="17" spans="2:27" ht="12.75" customHeight="1" x14ac:dyDescent="0.2">
      <c r="B17" s="4"/>
      <c r="E17" s="256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8"/>
      <c r="T17" s="5"/>
      <c r="Y17" s="9" t="str">
        <f>+IF(Stammdaten!G24="","",Stammdaten!G24)</f>
        <v/>
      </c>
    </row>
    <row r="18" spans="2:27" ht="12.75" customHeight="1" x14ac:dyDescent="0.2">
      <c r="B18" s="4"/>
      <c r="T18" s="5"/>
      <c r="Y18" s="9" t="str">
        <f>+IF(Stammdaten!G25="","",Stammdaten!G25)</f>
        <v/>
      </c>
    </row>
    <row r="19" spans="2:27" ht="12.75" customHeight="1" x14ac:dyDescent="0.2">
      <c r="B19" s="4"/>
      <c r="D19" s="135" t="s">
        <v>68</v>
      </c>
      <c r="E19" s="135"/>
      <c r="F19" s="135"/>
      <c r="G19" s="135"/>
      <c r="H19" s="135"/>
      <c r="N19" s="51" t="s">
        <v>94</v>
      </c>
      <c r="O19" s="11"/>
      <c r="P19" s="51" t="s">
        <v>108</v>
      </c>
      <c r="Q19" s="11"/>
      <c r="R19" s="51" t="s">
        <v>95</v>
      </c>
      <c r="T19" s="5"/>
      <c r="Y19" s="9" t="str">
        <f>+IF(Stammdaten!G26="","",Stammdaten!G26)</f>
        <v/>
      </c>
    </row>
    <row r="20" spans="2:27" ht="12.75" customHeight="1" x14ac:dyDescent="0.2">
      <c r="B20" s="4"/>
      <c r="N20" s="38"/>
      <c r="P20" s="38"/>
      <c r="R20" s="38"/>
      <c r="T20" s="5"/>
      <c r="Y20" s="9" t="str">
        <f>+IF(Stammdaten!G27="","",Stammdaten!G27)</f>
        <v/>
      </c>
    </row>
    <row r="21" spans="2:27" ht="12.75" customHeight="1" x14ac:dyDescent="0.2">
      <c r="B21" s="4"/>
      <c r="D21" s="3" t="s">
        <v>70</v>
      </c>
      <c r="J21" s="117" t="str">
        <f>+IF(Eingaben!J18="","",Eingaben!J18)</f>
        <v/>
      </c>
      <c r="L21" s="196">
        <f>+IF(Eingaben!L18="","",Eingaben!L18)</f>
        <v>0</v>
      </c>
      <c r="N21" s="133" t="str">
        <f>+J21</f>
        <v/>
      </c>
      <c r="P21" s="133" t="str">
        <f>IF(Eingaben!F6="","",IF(ISERROR(IF(OR(N21="",N21=0),0,-ROUND(N21/(1+L21)*L21,2))),0,IF(OR(N21="",N21=0),0,-ROUND(N21/(1+L21)*L21,2))))</f>
        <v/>
      </c>
      <c r="R21" s="133" t="str">
        <f>IF(Eingaben!F6="","",IF(ISERROR(IF(OR(N21=0,N21=""),0,N21+P21)),0,IF(OR(N21=0,N21=""),0,N21+P21)))</f>
        <v/>
      </c>
      <c r="T21" s="5"/>
      <c r="Y21" s="9" t="str">
        <f>+IF(Stammdaten!G28="","",Stammdaten!G28)</f>
        <v/>
      </c>
    </row>
    <row r="22" spans="2:27" ht="12.75" customHeight="1" x14ac:dyDescent="0.2">
      <c r="B22" s="4"/>
      <c r="D22" s="3" t="s">
        <v>71</v>
      </c>
      <c r="J22" s="117" t="str">
        <f>+IF(Eingaben!J19="","",Eingaben!J19)</f>
        <v/>
      </c>
      <c r="L22" s="196">
        <f>+IF(Eingaben!L19="","",Eingaben!L19)</f>
        <v>0</v>
      </c>
      <c r="N22" s="133" t="str">
        <f>+J22</f>
        <v/>
      </c>
      <c r="P22" s="133" t="str">
        <f>IF(Eingaben!F6="","",IF(ISERROR(IF(OR(N22="",N22=0),0,-ROUND(N22/(1+L22)*L22,2))),0,IF(OR(N22="",N22=0),0,-ROUND(N22/(1+L22)*L22,2))))</f>
        <v/>
      </c>
      <c r="R22" s="133" t="str">
        <f>IF(Eingaben!F6="","",IF(ISERROR(IF(OR(N22=0,N22=""),0,N22+P22)),0,IF(OR(N22=0,N22=""),0,N22+P22)))</f>
        <v/>
      </c>
      <c r="T22" s="5"/>
      <c r="Y22" s="9" t="str">
        <f>+IF(Stammdaten!G29="","",Stammdaten!G29)</f>
        <v/>
      </c>
    </row>
    <row r="23" spans="2:27" ht="12.75" customHeight="1" x14ac:dyDescent="0.2">
      <c r="B23" s="4"/>
      <c r="D23" s="3" t="s">
        <v>72</v>
      </c>
      <c r="J23" s="117" t="str">
        <f>+IF(Eingaben!J20="","",Eingaben!J20)</f>
        <v/>
      </c>
      <c r="L23" s="196">
        <f>+IF(Eingaben!L20="","",Eingaben!L20)</f>
        <v>0</v>
      </c>
      <c r="N23" s="133" t="str">
        <f>+J23</f>
        <v/>
      </c>
      <c r="P23" s="133" t="str">
        <f>IF(Eingaben!F6="","",IF(ISERROR(IF(OR(N23="",N23=0),0,-ROUND(N23/(1+L23)*L23,2))),0,IF(OR(N23="",N23=0),0,-ROUND(N23/(1+L23)*L23,2))))</f>
        <v/>
      </c>
      <c r="R23" s="133" t="str">
        <f>IF(Eingaben!F6="","",IF(ISERROR(IF(OR(N23=0,N23=""),0,N23+P23)),0,IF(OR(N23=0,N23=""),0,N23+P23)))</f>
        <v/>
      </c>
      <c r="T23" s="5"/>
      <c r="Y23" s="9" t="str">
        <f>+IF(Stammdaten!G30="","",Stammdaten!G30)</f>
        <v/>
      </c>
    </row>
    <row r="24" spans="2:27" ht="12.75" customHeight="1" x14ac:dyDescent="0.2">
      <c r="B24" s="4"/>
      <c r="N24" s="38"/>
      <c r="P24" s="38"/>
      <c r="R24" s="38"/>
      <c r="T24" s="5"/>
      <c r="Y24" s="9" t="str">
        <f>+IF(Stammdaten!G31="","",Stammdaten!G31)</f>
        <v/>
      </c>
    </row>
    <row r="25" spans="2:27" ht="12.75" customHeight="1" x14ac:dyDescent="0.2">
      <c r="B25" s="4"/>
      <c r="D25" s="135" t="s">
        <v>73</v>
      </c>
      <c r="E25" s="135"/>
      <c r="F25" s="135"/>
      <c r="G25" s="135"/>
      <c r="H25" s="135"/>
      <c r="N25" s="38"/>
      <c r="P25" s="38"/>
      <c r="R25" s="38"/>
      <c r="T25" s="5"/>
      <c r="Y25" s="9" t="str">
        <f>+IF(Stammdaten!G32="","",Stammdaten!G32)</f>
        <v/>
      </c>
    </row>
    <row r="26" spans="2:27" ht="12.75" customHeight="1" x14ac:dyDescent="0.2">
      <c r="B26" s="4"/>
      <c r="N26" s="38"/>
      <c r="P26" s="38"/>
      <c r="R26" s="38"/>
      <c r="T26" s="5"/>
      <c r="Y26" s="9" t="str">
        <f>+IF(Stammdaten!G33="","",Stammdaten!G33)</f>
        <v/>
      </c>
    </row>
    <row r="27" spans="2:27" ht="12.75" customHeight="1" thickBot="1" x14ac:dyDescent="0.25">
      <c r="B27" s="4"/>
      <c r="D27" s="3" t="s">
        <v>69</v>
      </c>
      <c r="J27" s="120" t="str">
        <f>+IF(Eingaben!J24="","",Eingaben!J24)</f>
        <v/>
      </c>
      <c r="N27" s="133" t="str">
        <f>IF(Eingaben!F6="","",IF(ISERROR(IF(J27=0,"",ROUND(J27*0.3,2))),0,IF(J27=0,"",ROUND(J27*0.3,2))))</f>
        <v/>
      </c>
      <c r="P27" s="72" t="str">
        <f>IF(ISERROR(IF(AND($F$13&lt;&gt;"Deutschland",$Z$79=0),0,IF(N27="","",0))),0,IF(AND($F$13&lt;&gt;"Deutschland",$Z$79=0),0,IF(N27="","",0)))</f>
        <v/>
      </c>
      <c r="R27" s="133" t="str">
        <f>+IF(N27="","",IF(OR(N27=0,N27=""),0,N27+P27))</f>
        <v/>
      </c>
      <c r="T27" s="5"/>
      <c r="Y27" s="15" t="str">
        <f>+IF(Stammdaten!G34="","",Stammdaten!G34)</f>
        <v/>
      </c>
    </row>
    <row r="28" spans="2:27" ht="12.75" customHeight="1" x14ac:dyDescent="0.2">
      <c r="B28" s="4"/>
      <c r="N28" s="38"/>
      <c r="P28" s="38"/>
      <c r="R28" s="38"/>
      <c r="T28" s="5"/>
    </row>
    <row r="29" spans="2:27" ht="12.75" customHeight="1" x14ac:dyDescent="0.2">
      <c r="B29" s="4"/>
      <c r="D29" s="135" t="s">
        <v>74</v>
      </c>
      <c r="E29" s="135"/>
      <c r="F29" s="135"/>
      <c r="G29" s="135"/>
      <c r="H29" s="135"/>
      <c r="N29" s="38"/>
      <c r="P29" s="38"/>
      <c r="R29" s="38"/>
      <c r="T29" s="5"/>
      <c r="Y29" s="189" t="s">
        <v>145</v>
      </c>
      <c r="Z29" s="189">
        <f>+IF(F13&lt;&gt;"Deutschland","",IF(Eingaben!S3=1,Eingaben!T2,Eingaben!T3))</f>
        <v>1.6</v>
      </c>
      <c r="AA29" s="189">
        <f>IF(ISERROR(Z29*J31),0,Z29*J31)</f>
        <v>0</v>
      </c>
    </row>
    <row r="30" spans="2:27" ht="12.75" customHeight="1" thickBot="1" x14ac:dyDescent="0.25">
      <c r="B30" s="4"/>
      <c r="N30" s="38"/>
      <c r="P30" s="38"/>
      <c r="R30" s="38"/>
      <c r="T30" s="5"/>
    </row>
    <row r="31" spans="2:27" ht="12.75" customHeight="1" thickBot="1" x14ac:dyDescent="0.25">
      <c r="B31" s="4"/>
      <c r="D31" s="3" t="s">
        <v>75</v>
      </c>
      <c r="J31" s="121" t="str">
        <f>+IF(Eingaben!J28="","",Eingaben!J28)</f>
        <v/>
      </c>
      <c r="L31" s="111" t="str">
        <f>IF(Eingaben!F6="","",IF(AA32=1,0,IF(ISERROR(IF(ISNUMBER(J32),$L$6,0)),"",IF(ISNUMBER(J32),$L$6,0))))</f>
        <v/>
      </c>
      <c r="N31" s="39"/>
      <c r="P31" s="39"/>
      <c r="R31" s="38"/>
      <c r="T31" s="5"/>
      <c r="Y31" s="40" t="s">
        <v>77</v>
      </c>
      <c r="Z31" s="61">
        <f>+Eingaben!T31</f>
        <v>1</v>
      </c>
      <c r="AA31" s="41" t="str">
        <f>+VLOOKUP(Z31,Pauschalen!E6:F230,2,FALSE)</f>
        <v>Deutschland</v>
      </c>
    </row>
    <row r="32" spans="2:27" ht="12.75" customHeight="1" thickBot="1" x14ac:dyDescent="0.25">
      <c r="B32" s="4"/>
      <c r="D32" s="3" t="str">
        <f>+IF(AA32=0,"Kosten für Übernachtungen","Pauschale Übernachtungskosten")</f>
        <v>Pauschale Übernachtungskosten</v>
      </c>
      <c r="J32" s="117" t="str">
        <f>IF(Eingaben!F6="","",IF(AA32=0,Eingaben!J29,""))</f>
        <v/>
      </c>
      <c r="L32" s="122">
        <f>IF(ISERROR(IF(AA32=0,"",J31*VLOOKUP($Z$31,Pauschalen!$E$6:$M$230,9,FALSE))),0,IF(AA32=0,"",J31*VLOOKUP($Z$31,Pauschalen!$E$6:$M$230,9,FALSE)))</f>
        <v>0</v>
      </c>
      <c r="N32" s="133" t="str">
        <f>IF(Eingaben!F6="","",IF($AA$32=1,L32,J32))</f>
        <v/>
      </c>
      <c r="P32" s="72">
        <f>IF(AND($F$13&lt;&gt;"Deutschland",$Z$79=0),0,IF(AND(ISNUMBER(N32),AA32=0),ROUND(-N32/(1+L31)*L31,2),0))</f>
        <v>0</v>
      </c>
      <c r="R32" s="133" t="str">
        <f>IF(N32="","",IF(ISERROR(IF(OR(N32=0,N32=""),0,IF(AND(ISNUMBER(N32),P32=""),N32,N32+P32))),0,IF(OR(N32=0,N32=""),0,IF(AND(ISNUMBER(N32),P32=""),N32,N32+P32))))</f>
        <v/>
      </c>
      <c r="T32" s="5"/>
      <c r="Y32" s="40" t="s">
        <v>78</v>
      </c>
      <c r="Z32" s="62" t="b">
        <f>+Eingaben!T32</f>
        <v>1</v>
      </c>
      <c r="AA32" s="42">
        <f>+IF(Z32=FALSE(),0,1)</f>
        <v>1</v>
      </c>
    </row>
    <row r="33" spans="2:34" ht="12.75" customHeight="1" thickBot="1" x14ac:dyDescent="0.25">
      <c r="B33" s="4"/>
      <c r="N33" s="38"/>
      <c r="P33" s="38"/>
      <c r="R33" s="38"/>
      <c r="T33" s="5"/>
      <c r="Y33" s="40" t="s">
        <v>76</v>
      </c>
      <c r="Z33" s="62" t="b">
        <v>1</v>
      </c>
      <c r="AA33" s="194">
        <f>+IF(Z33=FALSE(),0,1)</f>
        <v>1</v>
      </c>
      <c r="AB33" s="168">
        <f>+Eingaben!V33</f>
        <v>0</v>
      </c>
    </row>
    <row r="34" spans="2:34" ht="12.75" customHeight="1" thickBot="1" x14ac:dyDescent="0.25">
      <c r="B34" s="4"/>
      <c r="D34" s="135" t="s">
        <v>86</v>
      </c>
      <c r="E34" s="135"/>
      <c r="F34" s="135"/>
      <c r="G34" s="135"/>
      <c r="H34" s="135"/>
      <c r="N34" s="38"/>
      <c r="P34" s="38"/>
      <c r="R34" s="38"/>
      <c r="T34" s="5"/>
    </row>
    <row r="35" spans="2:34" ht="12.75" customHeight="1" thickBot="1" x14ac:dyDescent="0.25">
      <c r="B35" s="4"/>
      <c r="N35" s="38"/>
      <c r="P35" s="38"/>
      <c r="R35" s="38"/>
      <c r="T35" s="5"/>
      <c r="Y35" s="16" t="s">
        <v>80</v>
      </c>
      <c r="Z35" s="17"/>
      <c r="AA35" s="48">
        <f>+F7-F6+1</f>
        <v>1</v>
      </c>
    </row>
    <row r="36" spans="2:34" ht="12.75" customHeight="1" thickBot="1" x14ac:dyDescent="0.25">
      <c r="B36" s="4"/>
      <c r="D36" s="11" t="str">
        <f>IF(AB49=1,"Pauschale für Sonderfall",IF(AA35=1,"Pauschale für den Reisetag","Pauschale für den Anreisetag"))</f>
        <v>Pauschale für den Reisetag</v>
      </c>
      <c r="L36" s="202" t="str">
        <f>IF(Eingaben!F6="","",IF(AB49=1,AD49,AG40))</f>
        <v/>
      </c>
      <c r="N36" s="38"/>
      <c r="P36" s="38"/>
      <c r="R36" s="38"/>
      <c r="T36" s="5"/>
    </row>
    <row r="37" spans="2:34" ht="12.75" customHeight="1" x14ac:dyDescent="0.2">
      <c r="B37" s="4"/>
      <c r="D37" s="3" t="s">
        <v>161</v>
      </c>
      <c r="L37" s="202" t="str">
        <f>+IF(Eingaben!H33="","  -",Eingaben!H33*Berechnung!AH52)</f>
        <v xml:space="preserve">  -</v>
      </c>
      <c r="N37" s="38"/>
      <c r="P37" s="38"/>
      <c r="R37" s="38"/>
      <c r="T37" s="5"/>
      <c r="Y37" s="12" t="s">
        <v>81</v>
      </c>
      <c r="Z37" s="10" t="s">
        <v>0</v>
      </c>
      <c r="AA37" s="10" t="s">
        <v>6</v>
      </c>
      <c r="AB37" s="10" t="s">
        <v>79</v>
      </c>
      <c r="AC37" s="10" t="s">
        <v>82</v>
      </c>
      <c r="AD37" s="43" t="s">
        <v>83</v>
      </c>
    </row>
    <row r="38" spans="2:34" ht="12.75" customHeight="1" thickBot="1" x14ac:dyDescent="0.25">
      <c r="B38" s="4"/>
      <c r="D38" s="3" t="s">
        <v>164</v>
      </c>
      <c r="L38" s="202" t="str">
        <f>+IF(Eingaben!J33="","  -",Eingaben!J33*Berechnung!AH53)</f>
        <v xml:space="preserve">  -</v>
      </c>
      <c r="N38" s="38"/>
      <c r="P38" s="38"/>
      <c r="R38" s="38"/>
      <c r="T38" s="5"/>
      <c r="Y38" s="14"/>
      <c r="Z38" s="44">
        <f>+YEAR($F$6)</f>
        <v>1900</v>
      </c>
      <c r="AA38" s="44">
        <f>MONTH($F$6)</f>
        <v>1</v>
      </c>
      <c r="AB38" s="44">
        <f>DAY($F$6)</f>
        <v>0</v>
      </c>
      <c r="AC38" s="44">
        <f>+HOUR(H6)</f>
        <v>0</v>
      </c>
      <c r="AD38" s="45">
        <f>+MINUTE(H6)</f>
        <v>0</v>
      </c>
      <c r="AG38" s="212">
        <f>(Eingaben!H7-Eingaben!H6)*24</f>
        <v>0</v>
      </c>
      <c r="AH38" s="213">
        <f>+IF(AND(AA35=1,AG38&lt;=8),0,+VLOOKUP($Z$31,Pauschalen!$E$6:$M$230,5,FALSE))</f>
        <v>0</v>
      </c>
    </row>
    <row r="39" spans="2:34" ht="12.75" customHeight="1" thickBot="1" x14ac:dyDescent="0.25">
      <c r="B39" s="4"/>
      <c r="D39" s="3" t="s">
        <v>163</v>
      </c>
      <c r="L39" s="202" t="str">
        <f>+IF(Eingaben!L33="","  -",Eingaben!L33*Berechnung!AH54)</f>
        <v xml:space="preserve">  -</v>
      </c>
      <c r="N39" s="198" t="str">
        <f>IF(L36="","",IF(L36-SUM(L37:L39)&lt;=0,"0",L36-SUM(L37:L39)))</f>
        <v/>
      </c>
      <c r="P39" s="38"/>
      <c r="R39" s="133" t="str">
        <f>IF(L36="","",IF(OR(N39=0,N39=""),0,N39+P39))</f>
        <v/>
      </c>
      <c r="T39" s="5"/>
      <c r="Y39" s="4"/>
      <c r="AC39" s="47">
        <f>+IF(AND(AC38=23,AD38&gt;0),AC38,IF(AND(AC38&lt;24,AD38&gt;0),AC38+1,AC38))</f>
        <v>0</v>
      </c>
      <c r="AD39" s="5"/>
    </row>
    <row r="40" spans="2:34" ht="12.75" customHeight="1" thickBot="1" x14ac:dyDescent="0.25">
      <c r="B40" s="4"/>
      <c r="N40" s="38"/>
      <c r="P40" s="38"/>
      <c r="R40" s="38"/>
      <c r="T40" s="5"/>
      <c r="Y40" s="16" t="s">
        <v>84</v>
      </c>
      <c r="Z40" s="18"/>
      <c r="AA40" s="18"/>
      <c r="AB40" s="19"/>
      <c r="AC40" s="46">
        <f>IF(AA35=1,ROUNDDOWN(24*(H7-H6),0),24-AC39)</f>
        <v>0</v>
      </c>
      <c r="AD40" s="8"/>
      <c r="AF40" s="16" t="s">
        <v>88</v>
      </c>
      <c r="AG40" s="214">
        <f>+AH38</f>
        <v>0</v>
      </c>
    </row>
    <row r="41" spans="2:34" ht="12.75" customHeight="1" thickBot="1" x14ac:dyDescent="0.25">
      <c r="B41" s="4"/>
      <c r="D41" s="11" t="s">
        <v>167</v>
      </c>
      <c r="H41" s="3" t="str">
        <f>+IF(H42="","","Anzahl")</f>
        <v/>
      </c>
      <c r="J41" s="3" t="str">
        <f>+IF(H42="","","Pauschale")</f>
        <v/>
      </c>
      <c r="L41" s="3" t="str">
        <f>+IF(H42="","","Summe")</f>
        <v/>
      </c>
      <c r="N41" s="38"/>
      <c r="P41" s="38"/>
      <c r="R41" s="38"/>
      <c r="T41" s="5"/>
    </row>
    <row r="42" spans="2:34" ht="12.75" customHeight="1" x14ac:dyDescent="0.2">
      <c r="B42" s="4"/>
      <c r="D42" s="3" t="s">
        <v>168</v>
      </c>
      <c r="H42" s="47" t="str">
        <f>IF(AA35&lt;3,"",IF(AA35=1,"",IF($AA$35=1,0,IF(AB49=1,"",AB47))))</f>
        <v/>
      </c>
      <c r="J42" s="197" t="str">
        <f>IF(AA35&lt;3,"",AG47)</f>
        <v/>
      </c>
      <c r="L42" s="199" t="str">
        <f>IF(H42="","",IF(J42&gt;1,ROUND(H42*J42,2),""))</f>
        <v/>
      </c>
      <c r="N42" s="38"/>
      <c r="P42" s="38"/>
      <c r="R42" s="38"/>
      <c r="T42" s="5"/>
      <c r="Y42" s="12" t="s">
        <v>85</v>
      </c>
      <c r="Z42" s="10" t="s">
        <v>0</v>
      </c>
      <c r="AA42" s="10" t="s">
        <v>6</v>
      </c>
      <c r="AB42" s="10" t="s">
        <v>79</v>
      </c>
      <c r="AC42" s="10" t="s">
        <v>82</v>
      </c>
      <c r="AD42" s="43" t="s">
        <v>83</v>
      </c>
    </row>
    <row r="43" spans="2:34" ht="12.75" customHeight="1" thickBot="1" x14ac:dyDescent="0.25">
      <c r="B43" s="4"/>
      <c r="D43" s="3" t="s">
        <v>161</v>
      </c>
      <c r="H43" s="47" t="str">
        <f>IF(H42="","",Eingaben!H34)</f>
        <v/>
      </c>
      <c r="J43" s="197" t="str">
        <f>IF(H42="","",AH52)</f>
        <v/>
      </c>
      <c r="L43" s="199" t="str">
        <f>IF(H42="","",ROUND(H43*J43,2))</f>
        <v/>
      </c>
      <c r="N43" s="38"/>
      <c r="P43" s="38"/>
      <c r="R43" s="38"/>
      <c r="T43" s="5"/>
      <c r="Y43" s="14"/>
      <c r="Z43" s="44">
        <f>+YEAR($F$7)</f>
        <v>1900</v>
      </c>
      <c r="AA43" s="44">
        <f>MONTH($F$7)</f>
        <v>1</v>
      </c>
      <c r="AB43" s="44">
        <f>DAY($F$7)</f>
        <v>0</v>
      </c>
      <c r="AC43" s="44">
        <f>+HOUR(H7)</f>
        <v>0</v>
      </c>
      <c r="AD43" s="45">
        <f>+MINUTE(H7)</f>
        <v>0</v>
      </c>
    </row>
    <row r="44" spans="2:34" ht="12.75" customHeight="1" thickBot="1" x14ac:dyDescent="0.25">
      <c r="B44" s="4"/>
      <c r="D44" s="3" t="s">
        <v>164</v>
      </c>
      <c r="H44" s="47" t="str">
        <f>IF(H42="","",Eingaben!J34)</f>
        <v/>
      </c>
      <c r="J44" s="197" t="str">
        <f>IF(H42="","",AH53)</f>
        <v/>
      </c>
      <c r="L44" s="199" t="str">
        <f>IF(H42="","",ROUND(H44*J44,2))</f>
        <v/>
      </c>
      <c r="N44" s="38"/>
      <c r="P44" s="38"/>
      <c r="R44" s="38"/>
      <c r="T44" s="5"/>
      <c r="Y44" s="4"/>
      <c r="AC44" s="47">
        <f>+IF(AND(AC43=23,AD43&gt;0),23,IF(AD43&gt;0,AC43+1,AC43))</f>
        <v>0</v>
      </c>
      <c r="AD44" s="5"/>
    </row>
    <row r="45" spans="2:34" ht="12.75" customHeight="1" thickBot="1" x14ac:dyDescent="0.25">
      <c r="B45" s="4"/>
      <c r="D45" s="3" t="s">
        <v>163</v>
      </c>
      <c r="H45" s="47" t="str">
        <f>IF(H42="","",+Eingaben!L34)</f>
        <v/>
      </c>
      <c r="J45" s="197" t="str">
        <f>IF(H42="","",AH54)</f>
        <v/>
      </c>
      <c r="L45" s="199" t="str">
        <f>IF(H42="","",ROUND(H45*J45,2))</f>
        <v/>
      </c>
      <c r="N45" s="203" t="str">
        <f>+IF(H42="","",IF(L42-SUM(L43:L45)&lt;=0,"0",L42-SUM(L43:L45)))</f>
        <v/>
      </c>
      <c r="P45" s="38"/>
      <c r="R45" s="39" t="str">
        <f>+IF(OR(N45=0,N45=""),"",N45+P45)</f>
        <v/>
      </c>
      <c r="T45" s="5"/>
      <c r="Y45" s="16" t="s">
        <v>84</v>
      </c>
      <c r="Z45" s="18"/>
      <c r="AA45" s="18"/>
      <c r="AB45" s="19"/>
      <c r="AC45" s="46">
        <f>+AC44</f>
        <v>0</v>
      </c>
      <c r="AD45" s="8"/>
      <c r="AF45" s="16" t="s">
        <v>88</v>
      </c>
      <c r="AG45" s="49">
        <f>VLOOKUP($Z$31,Pauschalen!$E$6:$M$230,5,FALSE)</f>
        <v>14</v>
      </c>
    </row>
    <row r="46" spans="2:34" ht="12.75" customHeight="1" thickBot="1" x14ac:dyDescent="0.25">
      <c r="B46" s="4"/>
      <c r="N46" s="38"/>
      <c r="P46" s="38"/>
      <c r="R46" s="38"/>
      <c r="T46" s="5"/>
    </row>
    <row r="47" spans="2:34" ht="12.75" customHeight="1" thickBot="1" x14ac:dyDescent="0.25">
      <c r="B47" s="4"/>
      <c r="D47" s="11" t="s">
        <v>169</v>
      </c>
      <c r="L47" s="204" t="str">
        <f>IF(AA35=1,"",IF(AB49=1,"",AG45))</f>
        <v/>
      </c>
      <c r="N47" s="38"/>
      <c r="P47" s="38"/>
      <c r="R47" s="38"/>
      <c r="T47" s="5"/>
      <c r="Y47" s="16" t="s">
        <v>87</v>
      </c>
      <c r="Z47" s="18"/>
      <c r="AA47" s="17"/>
      <c r="AB47" s="48">
        <f>IF(AA35=1,0,AA35-2)</f>
        <v>0</v>
      </c>
      <c r="AF47" s="16" t="s">
        <v>88</v>
      </c>
      <c r="AG47" s="49">
        <f>VLOOKUP($Z$31,Pauschalen!$E$6:$M$230,6,FALSE)</f>
        <v>28</v>
      </c>
    </row>
    <row r="48" spans="2:34" ht="12.75" customHeight="1" thickBot="1" x14ac:dyDescent="0.25">
      <c r="B48" s="4"/>
      <c r="D48" s="3" t="s">
        <v>161</v>
      </c>
      <c r="L48" s="205" t="str">
        <f>IF(L47="","",IF(Eingaben!H35="","  -",Eingaben!H35*Berechnung!AH52))</f>
        <v/>
      </c>
      <c r="N48" s="38"/>
      <c r="P48" s="38"/>
      <c r="R48" s="38"/>
      <c r="T48" s="5"/>
    </row>
    <row r="49" spans="2:34" ht="12.75" customHeight="1" thickBot="1" x14ac:dyDescent="0.25">
      <c r="B49" s="4"/>
      <c r="D49" s="3" t="s">
        <v>164</v>
      </c>
      <c r="L49" s="205" t="str">
        <f>IF(L47="","",IF(Eingaben!J35="","  -",Eingaben!J35*Berechnung!AH53))</f>
        <v/>
      </c>
      <c r="N49" s="38"/>
      <c r="P49" s="38"/>
      <c r="R49" s="38"/>
      <c r="T49" s="5"/>
      <c r="Y49" s="16" t="s">
        <v>102</v>
      </c>
      <c r="Z49" s="18"/>
      <c r="AA49" s="17"/>
      <c r="AB49" s="48">
        <f>+IF(AND(AB47=0,AC38&gt;16,AC43&lt;8),1,0)</f>
        <v>0</v>
      </c>
      <c r="AC49" s="200">
        <f>+AC45+AC40</f>
        <v>0</v>
      </c>
      <c r="AD49" s="215">
        <f>+IF(AC49&lt;=8,0,VLOOKUP($Z$31,Pauschalen!$E$6:$M$230,5,FALSE))</f>
        <v>0</v>
      </c>
    </row>
    <row r="50" spans="2:34" ht="12.75" customHeight="1" thickBot="1" x14ac:dyDescent="0.25">
      <c r="B50" s="4"/>
      <c r="D50" s="3" t="s">
        <v>163</v>
      </c>
      <c r="L50" s="205" t="str">
        <f>IF(L47="","",IF(Eingaben!L35="","  -",Eingaben!L35*Berechnung!AH54))</f>
        <v/>
      </c>
      <c r="N50" s="206" t="str">
        <f>IF(L47="","",IF(L47-SUM(L48:L50)&lt;=0,"",L47-SUM(L48:L50)))</f>
        <v/>
      </c>
      <c r="P50" s="38"/>
      <c r="R50" s="207" t="str">
        <f>+IF(OR(N50=0,N50=""),"",N50+P50)</f>
        <v/>
      </c>
      <c r="T50" s="5"/>
      <c r="AC50" s="3" t="s">
        <v>174</v>
      </c>
    </row>
    <row r="51" spans="2:34" ht="12.75" customHeight="1" thickBot="1" x14ac:dyDescent="0.25">
      <c r="B51" s="4"/>
      <c r="N51" s="38"/>
      <c r="P51" s="38"/>
      <c r="R51" s="38"/>
      <c r="T51" s="5"/>
      <c r="Y51" s="37" t="s">
        <v>107</v>
      </c>
      <c r="Z51" s="219" t="s">
        <v>172</v>
      </c>
      <c r="AF51" s="16" t="s">
        <v>165</v>
      </c>
      <c r="AG51" s="19"/>
      <c r="AH51" s="49">
        <f>VLOOKUP($Z$31,Pauschalen!$E$6:$M$230,6,FALSE)</f>
        <v>28</v>
      </c>
    </row>
    <row r="52" spans="2:34" ht="12.75" customHeight="1" x14ac:dyDescent="0.2">
      <c r="B52" s="4"/>
      <c r="D52" s="135" t="s">
        <v>105</v>
      </c>
      <c r="E52" s="135"/>
      <c r="F52" s="135"/>
      <c r="G52" s="135"/>
      <c r="H52" s="135"/>
      <c r="N52" s="38"/>
      <c r="P52" s="38"/>
      <c r="R52" s="38"/>
      <c r="T52" s="5"/>
      <c r="Y52" s="13" t="str">
        <f>IF(Stammdaten!T9="","",Stammdaten!T9)</f>
        <v>Mietwagen</v>
      </c>
      <c r="Z52" s="220">
        <f>IF(Stammdaten!V9="","",Stammdaten!V9)</f>
        <v>0.19</v>
      </c>
      <c r="AF52" s="3" t="s">
        <v>161</v>
      </c>
      <c r="AH52" s="3">
        <f>+ROUND(AH51*0.2,2)</f>
        <v>5.6</v>
      </c>
    </row>
    <row r="53" spans="2:34" ht="12.75" customHeight="1" thickBot="1" x14ac:dyDescent="0.25">
      <c r="B53" s="4"/>
      <c r="N53" s="38"/>
      <c r="P53" s="38"/>
      <c r="R53" s="38"/>
      <c r="T53" s="5"/>
      <c r="Y53" s="9" t="str">
        <f>IF(Stammdaten!T10="","",Stammdaten!T10)</f>
        <v>Bewirtungskosten</v>
      </c>
      <c r="Z53" s="221">
        <f>IF(Stammdaten!V10="","",Stammdaten!V10)</f>
        <v>0.19</v>
      </c>
      <c r="AF53" s="3" t="s">
        <v>162</v>
      </c>
      <c r="AH53" s="3">
        <f>+AH52*2</f>
        <v>11.2</v>
      </c>
    </row>
    <row r="54" spans="2:34" ht="12.75" customHeight="1" thickBot="1" x14ac:dyDescent="0.25">
      <c r="B54" s="4"/>
      <c r="D54" s="76" t="s">
        <v>89</v>
      </c>
      <c r="E54" s="70" t="s">
        <v>90</v>
      </c>
      <c r="F54" s="20"/>
      <c r="G54" s="20"/>
      <c r="H54" s="71"/>
      <c r="I54" s="11"/>
      <c r="J54" s="69" t="s">
        <v>91</v>
      </c>
      <c r="L54" s="69" t="s">
        <v>109</v>
      </c>
      <c r="N54" s="38"/>
      <c r="P54" s="38"/>
      <c r="R54" s="38"/>
      <c r="T54" s="5"/>
      <c r="Y54" s="9" t="str">
        <f>IF(Stammdaten!T11="","",Stammdaten!T11)</f>
        <v>öffentliche Verkehrsmittel</v>
      </c>
      <c r="Z54" s="221">
        <f>IF(Stammdaten!V11="","",Stammdaten!V11)</f>
        <v>0.19</v>
      </c>
      <c r="AF54" s="3" t="s">
        <v>166</v>
      </c>
      <c r="AH54" s="3">
        <f>+AH53</f>
        <v>11.2</v>
      </c>
    </row>
    <row r="55" spans="2:34" ht="12.75" customHeight="1" x14ac:dyDescent="0.2">
      <c r="B55" s="4"/>
      <c r="D55" s="123" t="str">
        <f>+IF(Eingaben!D40="","",Eingaben!D40)</f>
        <v/>
      </c>
      <c r="E55" s="281" t="str">
        <f>+IF(Eingaben!E40="","",Eingaben!E40)</f>
        <v/>
      </c>
      <c r="F55" s="282" t="str">
        <f>+IF(Eingaben!F40="","",Eingaben!F40)</f>
        <v/>
      </c>
      <c r="G55" s="282" t="str">
        <f>+IF(Eingaben!G40="","",Eingaben!G40)</f>
        <v/>
      </c>
      <c r="H55" s="283" t="str">
        <f>+IF(Eingaben!H40="","",Eingaben!H40)</f>
        <v/>
      </c>
      <c r="J55" s="126" t="str">
        <f>+IF(Eingaben!J40="","",Eingaben!J40)</f>
        <v/>
      </c>
      <c r="L55" s="129" t="str">
        <f>+IF(Eingaben!L40="","",Eingaben!L40)</f>
        <v/>
      </c>
      <c r="N55" s="133" t="str">
        <f>+IF(J55="","",IF(ISNUMBER(J55),J55,0))</f>
        <v/>
      </c>
      <c r="P55" s="133" t="str">
        <f>+IF(ISERROR(IF(OR(N55="",N55=0),"",-ROUND(N55/(1+L55)*L55,2))),0,IF(OR(N55="",N55=0),"",-ROUND(N55/(1+L55)*L55,2)))</f>
        <v/>
      </c>
      <c r="R55" s="133" t="str">
        <f>IF(ISERROR(IF(ISNUMBER(N55),N55+P55,"")),0,IF(ISNUMBER(N55),N55+P55,""))</f>
        <v/>
      </c>
      <c r="T55" s="5"/>
      <c r="Y55" s="9" t="str">
        <f>IF(Stammdaten!T12="","",Stammdaten!T12)</f>
        <v>Geschenke</v>
      </c>
      <c r="Z55" s="221">
        <f>IF(Stammdaten!V12="","",Stammdaten!V12)</f>
        <v>0.19</v>
      </c>
    </row>
    <row r="56" spans="2:34" ht="12.75" customHeight="1" x14ac:dyDescent="0.2">
      <c r="B56" s="4"/>
      <c r="D56" s="124" t="str">
        <f>+IF(Eingaben!D41="","",Eingaben!D41)</f>
        <v/>
      </c>
      <c r="E56" s="268" t="str">
        <f>+IF(Eingaben!E41="","",Eingaben!E41)</f>
        <v/>
      </c>
      <c r="F56" s="269" t="str">
        <f>+IF(Eingaben!F41="","",Eingaben!F41)</f>
        <v/>
      </c>
      <c r="G56" s="269" t="str">
        <f>+IF(Eingaben!G41="","",Eingaben!G41)</f>
        <v/>
      </c>
      <c r="H56" s="270" t="str">
        <f>+IF(Eingaben!H41="","",Eingaben!H41)</f>
        <v/>
      </c>
      <c r="J56" s="127" t="str">
        <f>+IF(Eingaben!J41="","",Eingaben!J41)</f>
        <v/>
      </c>
      <c r="L56" s="130" t="str">
        <f>+IF(Eingaben!L41="","",Eingaben!L41)</f>
        <v/>
      </c>
      <c r="N56" s="133" t="str">
        <f t="shared" ref="N56:N63" si="0">+IF(J56="","",IF(ISNUMBER(J56),J56,0))</f>
        <v/>
      </c>
      <c r="P56" s="133" t="str">
        <f t="shared" ref="P56:P63" si="1">+IF(ISERROR(IF(OR(N56="",N56=0),"",-ROUND(N56/(1+L56)*L56,2))),0,IF(OR(N56="",N56=0),"",-ROUND(N56/(1+L56)*L56,2)))</f>
        <v/>
      </c>
      <c r="R56" s="133" t="str">
        <f t="shared" ref="R56:R63" si="2">IF(ISERROR(IF(ISNUMBER(N56),N56+P56,"")),0,IF(ISNUMBER(N56),N56+P56,""))</f>
        <v/>
      </c>
      <c r="T56" s="5"/>
      <c r="Y56" s="9" t="str">
        <f>IF(Stammdaten!T13="","",Stammdaten!T13)</f>
        <v>Taxi 7%</v>
      </c>
      <c r="Z56" s="221">
        <f>IF(Stammdaten!V13="","",Stammdaten!V13)</f>
        <v>7.0000000000000007E-2</v>
      </c>
    </row>
    <row r="57" spans="2:34" ht="12.75" customHeight="1" x14ac:dyDescent="0.2">
      <c r="B57" s="4"/>
      <c r="D57" s="124" t="str">
        <f>+IF(Eingaben!D42="","",Eingaben!D42)</f>
        <v/>
      </c>
      <c r="E57" s="268" t="str">
        <f>+IF(Eingaben!E42="","",Eingaben!E42)</f>
        <v/>
      </c>
      <c r="F57" s="269" t="str">
        <f>+IF(Eingaben!F42="","",Eingaben!F42)</f>
        <v/>
      </c>
      <c r="G57" s="269" t="str">
        <f>+IF(Eingaben!G42="","",Eingaben!G42)</f>
        <v/>
      </c>
      <c r="H57" s="270" t="str">
        <f>+IF(Eingaben!H42="","",Eingaben!H42)</f>
        <v/>
      </c>
      <c r="J57" s="127" t="str">
        <f>+IF(Eingaben!J42="","",Eingaben!J42)</f>
        <v/>
      </c>
      <c r="L57" s="130" t="str">
        <f>+IF(Eingaben!L42="","",Eingaben!L42)</f>
        <v/>
      </c>
      <c r="N57" s="133" t="str">
        <f t="shared" si="0"/>
        <v/>
      </c>
      <c r="P57" s="133" t="str">
        <f t="shared" si="1"/>
        <v/>
      </c>
      <c r="R57" s="133" t="str">
        <f t="shared" si="2"/>
        <v/>
      </c>
      <c r="T57" s="5"/>
      <c r="Y57" s="9" t="str">
        <f>IF(Stammdaten!T14="","",Stammdaten!T14)</f>
        <v>Taxi 19%</v>
      </c>
      <c r="Z57" s="221">
        <f>IF(Stammdaten!V14="","",Stammdaten!V14)</f>
        <v>0.19</v>
      </c>
    </row>
    <row r="58" spans="2:34" ht="12.75" customHeight="1" x14ac:dyDescent="0.2">
      <c r="B58" s="4"/>
      <c r="D58" s="124" t="str">
        <f>+IF(Eingaben!D43="","",Eingaben!D43)</f>
        <v/>
      </c>
      <c r="E58" s="268" t="str">
        <f>+IF(Eingaben!E43="","",Eingaben!E43)</f>
        <v/>
      </c>
      <c r="F58" s="269" t="str">
        <f>+IF(Eingaben!F43="","",Eingaben!F43)</f>
        <v/>
      </c>
      <c r="G58" s="269" t="str">
        <f>+IF(Eingaben!G43="","",Eingaben!G43)</f>
        <v/>
      </c>
      <c r="H58" s="270" t="str">
        <f>+IF(Eingaben!H43="","",Eingaben!H43)</f>
        <v/>
      </c>
      <c r="J58" s="127" t="str">
        <f>+IF(Eingaben!J43="","",Eingaben!J43)</f>
        <v/>
      </c>
      <c r="L58" s="130" t="str">
        <f>+IF(Eingaben!L43="","",Eingaben!L43)</f>
        <v/>
      </c>
      <c r="N58" s="133" t="str">
        <f t="shared" si="0"/>
        <v/>
      </c>
      <c r="P58" s="133" t="str">
        <f t="shared" si="1"/>
        <v/>
      </c>
      <c r="R58" s="133" t="str">
        <f t="shared" si="2"/>
        <v/>
      </c>
      <c r="T58" s="5"/>
      <c r="Y58" s="9" t="str">
        <f>IF(Stammdaten!T15="","",Stammdaten!T15)</f>
        <v>Kfz: Parkgebühren</v>
      </c>
      <c r="Z58" s="221">
        <f>IF(Stammdaten!V15="","",Stammdaten!V15)</f>
        <v>0.19</v>
      </c>
    </row>
    <row r="59" spans="2:34" ht="12.75" customHeight="1" x14ac:dyDescent="0.2">
      <c r="B59" s="4"/>
      <c r="D59" s="124" t="str">
        <f>+IF(Eingaben!D44="","",Eingaben!D44)</f>
        <v/>
      </c>
      <c r="E59" s="268" t="str">
        <f>+IF(Eingaben!E44="","",Eingaben!E44)</f>
        <v/>
      </c>
      <c r="F59" s="269" t="str">
        <f>+IF(Eingaben!F44="","",Eingaben!F44)</f>
        <v/>
      </c>
      <c r="G59" s="269" t="str">
        <f>+IF(Eingaben!G44="","",Eingaben!G44)</f>
        <v/>
      </c>
      <c r="H59" s="270" t="str">
        <f>+IF(Eingaben!H44="","",Eingaben!H44)</f>
        <v/>
      </c>
      <c r="J59" s="127" t="str">
        <f>+IF(Eingaben!J44="","",Eingaben!J44)</f>
        <v/>
      </c>
      <c r="L59" s="130" t="str">
        <f>+IF(Eingaben!L44="","",Eingaben!L44)</f>
        <v/>
      </c>
      <c r="N59" s="133" t="str">
        <f t="shared" si="0"/>
        <v/>
      </c>
      <c r="P59" s="133" t="str">
        <f t="shared" si="1"/>
        <v/>
      </c>
      <c r="R59" s="133" t="str">
        <f t="shared" si="2"/>
        <v/>
      </c>
      <c r="T59" s="5"/>
      <c r="Y59" s="9" t="str">
        <f>IF(Stammdaten!T16="","",Stammdaten!T16)</f>
        <v>Telefon / Handy</v>
      </c>
      <c r="Z59" s="221">
        <f>IF(Stammdaten!V16="","",Stammdaten!V16)</f>
        <v>0.19</v>
      </c>
    </row>
    <row r="60" spans="2:34" ht="12.75" customHeight="1" x14ac:dyDescent="0.2">
      <c r="B60" s="4"/>
      <c r="D60" s="124" t="str">
        <f>+IF(Eingaben!D45="","",Eingaben!D45)</f>
        <v/>
      </c>
      <c r="E60" s="268" t="str">
        <f>+IF(Eingaben!E45="","",Eingaben!E45)</f>
        <v/>
      </c>
      <c r="F60" s="269" t="str">
        <f>+IF(Eingaben!F45="","",Eingaben!F45)</f>
        <v/>
      </c>
      <c r="G60" s="269" t="str">
        <f>+IF(Eingaben!G45="","",Eingaben!G45)</f>
        <v/>
      </c>
      <c r="H60" s="270" t="str">
        <f>+IF(Eingaben!H45="","",Eingaben!H45)</f>
        <v/>
      </c>
      <c r="J60" s="127" t="str">
        <f>+IF(Eingaben!J45="","",Eingaben!J45)</f>
        <v/>
      </c>
      <c r="L60" s="130" t="str">
        <f>+IF(Eingaben!L45="","",Eingaben!L45)</f>
        <v/>
      </c>
      <c r="N60" s="133" t="str">
        <f t="shared" si="0"/>
        <v/>
      </c>
      <c r="P60" s="133" t="str">
        <f t="shared" si="1"/>
        <v/>
      </c>
      <c r="R60" s="133" t="str">
        <f t="shared" si="2"/>
        <v/>
      </c>
      <c r="T60" s="5"/>
      <c r="Y60" s="9" t="str">
        <f>IF(Stammdaten!T17="","",Stammdaten!T17)</f>
        <v>Kfz: sonstige Kosten</v>
      </c>
      <c r="Z60" s="221">
        <f>IF(Stammdaten!V17="","",Stammdaten!V17)</f>
        <v>0.19</v>
      </c>
    </row>
    <row r="61" spans="2:34" ht="12.75" customHeight="1" x14ac:dyDescent="0.2">
      <c r="B61" s="4"/>
      <c r="D61" s="124" t="str">
        <f>+IF(Eingaben!D46="","",Eingaben!D46)</f>
        <v/>
      </c>
      <c r="E61" s="268" t="str">
        <f>+IF(Eingaben!E46="","",Eingaben!E46)</f>
        <v/>
      </c>
      <c r="F61" s="269" t="str">
        <f>+IF(Eingaben!F46="","",Eingaben!F46)</f>
        <v/>
      </c>
      <c r="G61" s="269" t="str">
        <f>+IF(Eingaben!G46="","",Eingaben!G46)</f>
        <v/>
      </c>
      <c r="H61" s="270" t="str">
        <f>+IF(Eingaben!H46="","",Eingaben!H46)</f>
        <v/>
      </c>
      <c r="J61" s="127" t="str">
        <f>+IF(Eingaben!J46="","",Eingaben!J46)</f>
        <v/>
      </c>
      <c r="L61" s="130" t="str">
        <f>+IF(Eingaben!L46="","",Eingaben!L46)</f>
        <v/>
      </c>
      <c r="N61" s="133" t="str">
        <f t="shared" si="0"/>
        <v/>
      </c>
      <c r="P61" s="133" t="str">
        <f t="shared" si="1"/>
        <v/>
      </c>
      <c r="R61" s="133" t="str">
        <f t="shared" si="2"/>
        <v/>
      </c>
      <c r="T61" s="5"/>
      <c r="Y61" s="9" t="str">
        <f>IF(Stammdaten!T18="","",Stammdaten!T18)</f>
        <v>Kfz: Treibstoff</v>
      </c>
      <c r="Z61" s="221">
        <f>IF(Stammdaten!V18="","",Stammdaten!V18)</f>
        <v>0.19</v>
      </c>
    </row>
    <row r="62" spans="2:34" ht="12.75" customHeight="1" x14ac:dyDescent="0.2">
      <c r="B62" s="4"/>
      <c r="D62" s="124" t="str">
        <f>+IF(Eingaben!D47="","",Eingaben!D47)</f>
        <v/>
      </c>
      <c r="E62" s="268" t="str">
        <f>+IF(Eingaben!E47="","",Eingaben!E47)</f>
        <v/>
      </c>
      <c r="F62" s="269" t="str">
        <f>+IF(Eingaben!F47="","",Eingaben!F47)</f>
        <v/>
      </c>
      <c r="G62" s="269" t="str">
        <f>+IF(Eingaben!G47="","",Eingaben!G47)</f>
        <v/>
      </c>
      <c r="H62" s="270" t="str">
        <f>+IF(Eingaben!H47="","",Eingaben!H47)</f>
        <v/>
      </c>
      <c r="J62" s="127" t="str">
        <f>+IF(Eingaben!J47="","",Eingaben!J47)</f>
        <v/>
      </c>
      <c r="L62" s="130" t="str">
        <f>+IF(Eingaben!L47="","",Eingaben!L47)</f>
        <v/>
      </c>
      <c r="N62" s="133" t="str">
        <f t="shared" si="0"/>
        <v/>
      </c>
      <c r="P62" s="133" t="str">
        <f t="shared" si="1"/>
        <v/>
      </c>
      <c r="R62" s="133" t="str">
        <f t="shared" si="2"/>
        <v/>
      </c>
      <c r="T62" s="5"/>
      <c r="Y62" s="9" t="str">
        <f>IF(Stammdaten!T19="","",Stammdaten!T19)</f>
        <v/>
      </c>
      <c r="Z62" s="221" t="str">
        <f>IF(Stammdaten!V19="","",Stammdaten!V19)</f>
        <v/>
      </c>
    </row>
    <row r="63" spans="2:34" ht="12.75" customHeight="1" thickBot="1" x14ac:dyDescent="0.25">
      <c r="B63" s="4"/>
      <c r="D63" s="125" t="str">
        <f>+IF(Eingaben!D48="","",Eingaben!D48)</f>
        <v/>
      </c>
      <c r="E63" s="271" t="str">
        <f>+IF(Eingaben!E48="","",Eingaben!E48)</f>
        <v/>
      </c>
      <c r="F63" s="272" t="str">
        <f>+IF(Eingaben!F48="","",Eingaben!F48)</f>
        <v/>
      </c>
      <c r="G63" s="272" t="str">
        <f>+IF(Eingaben!G48="","",Eingaben!G48)</f>
        <v/>
      </c>
      <c r="H63" s="273" t="str">
        <f>+IF(Eingaben!H48="","",Eingaben!H48)</f>
        <v/>
      </c>
      <c r="J63" s="128" t="str">
        <f>+IF(Eingaben!J48="","",Eingaben!J48)</f>
        <v/>
      </c>
      <c r="L63" s="131" t="str">
        <f>+IF(Eingaben!L48="","",Eingaben!L48)</f>
        <v/>
      </c>
      <c r="N63" s="133" t="str">
        <f t="shared" si="0"/>
        <v/>
      </c>
      <c r="P63" s="133" t="str">
        <f t="shared" si="1"/>
        <v/>
      </c>
      <c r="R63" s="133" t="str">
        <f t="shared" si="2"/>
        <v/>
      </c>
      <c r="T63" s="5"/>
      <c r="Y63" s="9" t="str">
        <f>IF(Stammdaten!T20="","",Stammdaten!T20)</f>
        <v/>
      </c>
      <c r="Z63" s="221" t="str">
        <f>IF(Stammdaten!V20="","",Stammdaten!V20)</f>
        <v/>
      </c>
    </row>
    <row r="64" spans="2:34" ht="12.75" customHeight="1" x14ac:dyDescent="0.2">
      <c r="B64" s="4"/>
      <c r="N64" s="38"/>
      <c r="P64" s="38"/>
      <c r="R64" s="38"/>
      <c r="T64" s="5"/>
      <c r="Y64" s="9" t="str">
        <f>IF(Stammdaten!T21="","",Stammdaten!T21)</f>
        <v/>
      </c>
      <c r="Z64" s="221" t="str">
        <f>IF(Stammdaten!V21="","",Stammdaten!V21)</f>
        <v/>
      </c>
    </row>
    <row r="65" spans="2:26" ht="12.75" customHeight="1" x14ac:dyDescent="0.2">
      <c r="B65" s="4"/>
      <c r="D65" s="3" t="s">
        <v>96</v>
      </c>
      <c r="L65" s="54" t="s">
        <v>97</v>
      </c>
      <c r="N65" s="134">
        <f>SUM(N20:N64)</f>
        <v>0</v>
      </c>
      <c r="O65" s="11"/>
      <c r="P65" s="134">
        <f>SUM(P20:P64)</f>
        <v>0</v>
      </c>
      <c r="Q65" s="11"/>
      <c r="R65" s="134">
        <f>SUM(R20:R64)</f>
        <v>0</v>
      </c>
      <c r="T65" s="5"/>
      <c r="Y65" s="9" t="str">
        <f>IF(Stammdaten!T22="","",Stammdaten!T22)</f>
        <v/>
      </c>
      <c r="Z65" s="221" t="str">
        <f>IF(Stammdaten!V22="","",Stammdaten!V22)</f>
        <v/>
      </c>
    </row>
    <row r="66" spans="2:26" ht="12.75" customHeight="1" x14ac:dyDescent="0.2">
      <c r="B66" s="4"/>
      <c r="T66" s="5"/>
      <c r="Y66" s="9" t="str">
        <f>IF(Stammdaten!T23="","",Stammdaten!T23)</f>
        <v/>
      </c>
      <c r="Z66" s="221" t="str">
        <f>IF(Stammdaten!V23="","",Stammdaten!V23)</f>
        <v/>
      </c>
    </row>
    <row r="67" spans="2:26" ht="12.75" customHeight="1" x14ac:dyDescent="0.2">
      <c r="B67" s="4"/>
      <c r="L67" s="55" t="s">
        <v>98</v>
      </c>
      <c r="N67" s="132">
        <f>+Eingaben!L50</f>
        <v>0</v>
      </c>
      <c r="P67" s="56" t="s">
        <v>99</v>
      </c>
      <c r="T67" s="5"/>
      <c r="Y67" s="9" t="str">
        <f>IF(Stammdaten!T24="","",Stammdaten!T24)</f>
        <v/>
      </c>
      <c r="Z67" s="221" t="str">
        <f>IF(Stammdaten!V24="","",Stammdaten!V24)</f>
        <v/>
      </c>
    </row>
    <row r="68" spans="2:26" ht="12.75" customHeight="1" x14ac:dyDescent="0.2">
      <c r="B68" s="4"/>
      <c r="T68" s="5"/>
      <c r="Y68" s="9" t="str">
        <f>IF(Stammdaten!T25="","",Stammdaten!T25)</f>
        <v/>
      </c>
      <c r="Z68" s="221" t="str">
        <f>IF(Stammdaten!V25="","",Stammdaten!V25)</f>
        <v/>
      </c>
    </row>
    <row r="69" spans="2:26" ht="12.75" customHeight="1" x14ac:dyDescent="0.2">
      <c r="B69" s="4"/>
      <c r="D69" s="52"/>
      <c r="F69" s="52"/>
      <c r="G69" s="52"/>
      <c r="H69" s="52"/>
      <c r="L69" s="55" t="str">
        <f>+IF(N69&lt;0,"Überzahlung","Restzahlung")</f>
        <v>Restzahlung</v>
      </c>
      <c r="N69" s="134">
        <f>+N65-N67</f>
        <v>0</v>
      </c>
      <c r="P69" s="52"/>
      <c r="Q69" s="52"/>
      <c r="R69" s="52"/>
      <c r="T69" s="5"/>
      <c r="Y69" s="9" t="str">
        <f>IF(Stammdaten!T26="","",Stammdaten!T26)</f>
        <v/>
      </c>
      <c r="Z69" s="221" t="str">
        <f>IF(Stammdaten!V26="","",Stammdaten!V26)</f>
        <v/>
      </c>
    </row>
    <row r="70" spans="2:26" ht="12.75" customHeight="1" x14ac:dyDescent="0.2">
      <c r="B70" s="4"/>
      <c r="D70" s="3" t="s">
        <v>89</v>
      </c>
      <c r="F70" s="3" t="s">
        <v>100</v>
      </c>
      <c r="T70" s="5"/>
      <c r="Y70" s="9" t="str">
        <f>IF(Stammdaten!T27="","",Stammdaten!T27)</f>
        <v/>
      </c>
      <c r="Z70" s="221" t="str">
        <f>IF(Stammdaten!V27="","",Stammdaten!V27)</f>
        <v/>
      </c>
    </row>
    <row r="71" spans="2:26" ht="12.75" customHeight="1" x14ac:dyDescent="0.2">
      <c r="B71" s="4"/>
      <c r="T71" s="5"/>
      <c r="Y71" s="9" t="str">
        <f>IF(Stammdaten!T28="","",Stammdaten!T28)</f>
        <v/>
      </c>
      <c r="Z71" s="221" t="str">
        <f>IF(Stammdaten!V28="","",Stammdaten!V28)</f>
        <v/>
      </c>
    </row>
    <row r="72" spans="2:26" ht="12.75" customHeight="1" x14ac:dyDescent="0.2">
      <c r="B72" s="4"/>
      <c r="T72" s="5"/>
      <c r="Y72" s="9" t="str">
        <f>IF(Stammdaten!T29="","",Stammdaten!T29)</f>
        <v/>
      </c>
      <c r="Z72" s="221" t="str">
        <f>IF(Stammdaten!V29="","",Stammdaten!V29)</f>
        <v/>
      </c>
    </row>
    <row r="73" spans="2:26" ht="12.75" customHeight="1" x14ac:dyDescent="0.2">
      <c r="B73" s="4"/>
      <c r="T73" s="5"/>
      <c r="Y73" s="9" t="str">
        <f>IF(Stammdaten!T30="","",Stammdaten!T30)</f>
        <v/>
      </c>
      <c r="Z73" s="221" t="str">
        <f>IF(Stammdaten!V30="","",Stammdaten!V30)</f>
        <v/>
      </c>
    </row>
    <row r="74" spans="2:26" ht="12.75" customHeight="1" x14ac:dyDescent="0.2">
      <c r="B74" s="4"/>
      <c r="D74" s="52"/>
      <c r="F74" s="52"/>
      <c r="G74" s="52"/>
      <c r="H74" s="52"/>
      <c r="T74" s="5"/>
      <c r="Y74" s="9" t="str">
        <f>IF(Stammdaten!T31="","",Stammdaten!T31)</f>
        <v/>
      </c>
      <c r="Z74" s="221" t="str">
        <f>IF(Stammdaten!V31="","",Stammdaten!V31)</f>
        <v/>
      </c>
    </row>
    <row r="75" spans="2:26" ht="12.75" customHeight="1" x14ac:dyDescent="0.2">
      <c r="B75" s="4"/>
      <c r="D75" s="3" t="s">
        <v>89</v>
      </c>
      <c r="F75" s="3" t="s">
        <v>101</v>
      </c>
      <c r="T75" s="5"/>
      <c r="Y75" s="9" t="str">
        <f>IF(Stammdaten!T32="","",Stammdaten!T32)</f>
        <v/>
      </c>
      <c r="Z75" s="221" t="str">
        <f>IF(Stammdaten!V32="","",Stammdaten!V32)</f>
        <v/>
      </c>
    </row>
    <row r="76" spans="2:26" ht="12.75" customHeight="1" thickBot="1" x14ac:dyDescent="0.25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Y76" s="9" t="str">
        <f>IF(Stammdaten!T33="","",Stammdaten!T33)</f>
        <v/>
      </c>
      <c r="Z76" s="221" t="str">
        <f>IF(Stammdaten!V33="","",Stammdaten!V33)</f>
        <v/>
      </c>
    </row>
    <row r="77" spans="2:26" ht="12.75" customHeight="1" thickBot="1" x14ac:dyDescent="0.25">
      <c r="Y77" s="15" t="str">
        <f>IF(Stammdaten!T34="","",Stammdaten!T34)</f>
        <v/>
      </c>
      <c r="Z77" s="222" t="str">
        <f>IF(Stammdaten!V34="","",Stammdaten!V34)</f>
        <v/>
      </c>
    </row>
    <row r="78" spans="2:26" ht="12.75" customHeight="1" x14ac:dyDescent="0.2">
      <c r="B78" s="245" t="s">
        <v>138</v>
      </c>
      <c r="C78" s="245"/>
      <c r="D78" s="245"/>
      <c r="E78" s="173" t="s">
        <v>139</v>
      </c>
      <c r="F78" s="173" t="s">
        <v>125</v>
      </c>
      <c r="G78" s="173"/>
      <c r="H78" s="245" t="s">
        <v>137</v>
      </c>
      <c r="I78" s="245"/>
      <c r="J78" s="245"/>
      <c r="L78" s="245" t="s">
        <v>104</v>
      </c>
      <c r="M78" s="245"/>
      <c r="N78" s="245"/>
    </row>
    <row r="79" spans="2:26" ht="12.75" customHeight="1" x14ac:dyDescent="0.2">
      <c r="Y79" s="168" t="s">
        <v>148</v>
      </c>
      <c r="Z79" s="168">
        <v>0</v>
      </c>
    </row>
    <row r="80" spans="2:26" ht="12.75" customHeight="1" x14ac:dyDescent="0.2">
      <c r="B80" s="163" t="s">
        <v>402</v>
      </c>
    </row>
    <row r="81" spans="2:2" ht="12.75" customHeight="1" x14ac:dyDescent="0.2">
      <c r="B81" s="163" t="s">
        <v>118</v>
      </c>
    </row>
    <row r="82" spans="2:2" ht="12.75" customHeight="1" x14ac:dyDescent="0.2">
      <c r="B82" s="163" t="s">
        <v>110</v>
      </c>
    </row>
  </sheetData>
  <sheetProtection sheet="1" objects="1" scenarios="1"/>
  <mergeCells count="17">
    <mergeCell ref="B78:D78"/>
    <mergeCell ref="H78:J78"/>
    <mergeCell ref="L78:N78"/>
    <mergeCell ref="F13:H13"/>
    <mergeCell ref="E58:H58"/>
    <mergeCell ref="E55:H55"/>
    <mergeCell ref="E56:H56"/>
    <mergeCell ref="E57:H57"/>
    <mergeCell ref="B2:T2"/>
    <mergeCell ref="E62:H62"/>
    <mergeCell ref="E63:H63"/>
    <mergeCell ref="E59:H59"/>
    <mergeCell ref="E60:H60"/>
    <mergeCell ref="E61:H61"/>
    <mergeCell ref="F4:H4"/>
    <mergeCell ref="E15:S17"/>
    <mergeCell ref="O12:P12"/>
  </mergeCells>
  <phoneticPr fontId="0" type="noConversion"/>
  <conditionalFormatting sqref="L32">
    <cfRule type="expression" dxfId="8" priority="2" stopIfTrue="1">
      <formula>$AA$32=0</formula>
    </cfRule>
  </conditionalFormatting>
  <conditionalFormatting sqref="J32">
    <cfRule type="expression" dxfId="7" priority="3" stopIfTrue="1">
      <formula>$AA$32=1</formula>
    </cfRule>
  </conditionalFormatting>
  <conditionalFormatting sqref="P32">
    <cfRule type="cellIs" dxfId="6" priority="6" stopIfTrue="1" operator="equal">
      <formula>0</formula>
    </cfRule>
  </conditionalFormatting>
  <conditionalFormatting sqref="L31">
    <cfRule type="expression" dxfId="5" priority="14" stopIfTrue="1">
      <formula>$AA$32=0</formula>
    </cfRule>
  </conditionalFormatting>
  <conditionalFormatting sqref="H42:H45 J42:J45 L42:L45 N45 R45">
    <cfRule type="expression" dxfId="4" priority="24" stopIfTrue="1">
      <formula>$AA$35&gt;2</formula>
    </cfRule>
  </conditionalFormatting>
  <conditionalFormatting sqref="L47:L50 N50 R50">
    <cfRule type="expression" dxfId="3" priority="25" stopIfTrue="1">
      <formula>AND($AB$49&lt;&gt;1,$AA$35&gt;1)</formula>
    </cfRule>
  </conditionalFormatting>
  <conditionalFormatting sqref="P27">
    <cfRule type="cellIs" dxfId="2" priority="15" stopIfTrue="1" operator="equal">
      <formula>0</formula>
    </cfRule>
  </conditionalFormatting>
  <conditionalFormatting sqref="L21:L23">
    <cfRule type="cellIs" dxfId="1" priority="5" stopIfTrue="1" operator="greaterThan">
      <formula>0.001</formula>
    </cfRule>
  </conditionalFormatting>
  <conditionalFormatting sqref="J4:N4">
    <cfRule type="expression" dxfId="0" priority="11" stopIfTrue="1">
      <formula>$AA$5="Fehler"</formula>
    </cfRule>
  </conditionalFormatting>
  <dataValidations count="17">
    <dataValidation type="date" allowBlank="1" showErrorMessage="1" errorTitle="Rückreisedatum eingeben" error="Hier bitte das Rückreisedatum eingeben." sqref="F7" xr:uid="{00000000-0002-0000-0200-000000000000}">
      <formula1>F6</formula1>
      <formula2>43830</formula2>
    </dataValidation>
    <dataValidation type="decimal" allowBlank="1" showErrorMessage="1" errorTitle="Vorschuss eingeben" error="Hier bitte Vorschüsse eingeben." sqref="N67" xr:uid="{00000000-0002-0000-0200-000001000000}">
      <formula1>0</formula1>
      <formula2>N65*10</formula2>
    </dataValidation>
    <dataValidation type="date" allowBlank="1" showErrorMessage="1" errorTitle="Belegdatum eingeben" error="Hier bitte das Belegdatum eingeben." sqref="D59:D62" xr:uid="{00000000-0002-0000-0200-000002000000}">
      <formula1>F8-10</formula1>
      <formula2>F9</formula2>
    </dataValidation>
    <dataValidation type="date" allowBlank="1" showErrorMessage="1" errorTitle="Belegdatum eingeben" error="Hier bitte das Belegdatum eingeben." sqref="D58" xr:uid="{00000000-0002-0000-0200-000003000000}">
      <formula1>F13-10</formula1>
      <formula2>F8</formula2>
    </dataValidation>
    <dataValidation type="date" allowBlank="1" showErrorMessage="1" errorTitle="Belegdatum eingeben" error="Hier bitte das Belegdatum eingeben." sqref="D63" xr:uid="{00000000-0002-0000-0200-000004000000}">
      <formula1>F12-10</formula1>
      <formula2>F14</formula2>
    </dataValidation>
    <dataValidation type="date" allowBlank="1" showErrorMessage="1" errorTitle="Belegdatum eingeben" error="Hier bitte das Belegdatum eingeben." sqref="D55:D56" xr:uid="{00000000-0002-0000-0200-000005000000}">
      <formula1>F6-10</formula1>
      <formula2>F7</formula2>
    </dataValidation>
    <dataValidation type="date" allowBlank="1" showErrorMessage="1" errorTitle="Belegdatum eingeben" error="Hier bitte das Belegdatum eingeben." sqref="D57" xr:uid="{00000000-0002-0000-0200-000006000000}">
      <formula1>#REF!-10</formula1>
      <formula2>F13</formula2>
    </dataValidation>
    <dataValidation type="list" allowBlank="1" showInputMessage="1" showErrorMessage="1" sqref="E55:E63" xr:uid="{00000000-0002-0000-0200-000007000000}">
      <formula1>$Y$52:$Y$77</formula1>
    </dataValidation>
    <dataValidation type="decimal" allowBlank="1" showErrorMessage="1" errorTitle="Kosten eingeben" error="Hier bitte die entsprechenden Kosten eingeben." sqref="J55:J63" xr:uid="{00000000-0002-0000-0200-000008000000}">
      <formula1>0</formula1>
      <formula2>10000</formula2>
    </dataValidation>
    <dataValidation type="whole" allowBlank="1" showErrorMessage="1" errorTitle="Anzahl Übernachtungen" error="Hier bitte die Anzahl der Übernachtungen eingeben." sqref="J31" xr:uid="{00000000-0002-0000-0200-000009000000}">
      <formula1>1</formula1>
      <formula2>20</formula2>
    </dataValidation>
    <dataValidation type="decimal" allowBlank="1" showErrorMessage="1" errorTitle="Kosten der Bahnfahrten" error="Hier bitte die Kosten für die Bahnfahrten eingeben." sqref="J21" xr:uid="{00000000-0002-0000-0200-00000A000000}">
      <formula1>0</formula1>
      <formula2>10000</formula2>
    </dataValidation>
    <dataValidation type="decimal" allowBlank="1" showErrorMessage="1" errorTitle="Kosten des Fluges" error="Hier bitte die Kosten für den Flug eingeben." sqref="J22" xr:uid="{00000000-0002-0000-0200-00000B000000}">
      <formula1>0</formula1>
      <formula2>10000</formula2>
    </dataValidation>
    <dataValidation type="decimal" allowBlank="1" showErrorMessage="1" errorTitle="Autokosten" error="Hier bitte die Kosten für ein Mietfahrzeug eingeben." sqref="J23" xr:uid="{00000000-0002-0000-0200-00000C000000}">
      <formula1>0</formula1>
      <formula2>10000</formula2>
    </dataValidation>
    <dataValidation type="whole" allowBlank="1" showErrorMessage="1" errorTitle="Gefahrende Kilometer" error="Hier bitte die mit dem Privat-PKW gefahrenen Kilometer eingeben." sqref="J27" xr:uid="{00000000-0002-0000-0200-00000D000000}">
      <formula1>0</formula1>
      <formula2>5000</formula2>
    </dataValidation>
    <dataValidation type="date" allowBlank="1" showErrorMessage="1" errorTitle="Abreisedatum eingeben" error="Hier bitte das Abreisedatum eingeben." sqref="F6" xr:uid="{00000000-0002-0000-0200-00000E000000}">
      <formula1>39814</formula1>
      <formula2>44196</formula2>
    </dataValidation>
    <dataValidation type="time" allowBlank="1" showErrorMessage="1" errorTitle="Abreiseuhrzeit" error="Hier bitte die Zeit am Abreisetag eingeben." sqref="H6:H7" xr:uid="{00000000-0002-0000-0200-00000F000000}">
      <formula1>0</formula1>
      <formula2>0.999305555555556</formula2>
    </dataValidation>
    <dataValidation type="decimal" allowBlank="1" showErrorMessage="1" errorTitle="USt-Satz eingeben" error="Hier bitte den USt-Satz eingeben." sqref="L6" xr:uid="{00000000-0002-0000-0200-000010000000}">
      <formula1>0</formula1>
      <formula2>0.35</formula2>
    </dataValidation>
  </dataValidations>
  <hyperlinks>
    <hyperlink ref="E78" location="HilfeB3" display="Hilfe?" xr:uid="{00000000-0004-0000-0200-000000000000}"/>
    <hyperlink ref="F78" location="BeispielB2" display="Beispiel" xr:uid="{00000000-0004-0000-0200-000001000000}"/>
    <hyperlink ref="H78:J78" location="StammdatenB3" display="Stammdaten" xr:uid="{00000000-0004-0000-0200-000002000000}"/>
    <hyperlink ref="L78:N78" location="PauschalenE4" display="Pauschalen" xr:uid="{00000000-0004-0000-0200-000003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8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8">
    <pageSetUpPr autoPageBreaks="0" fitToPage="1"/>
  </sheetPr>
  <dimension ref="B1:AA79"/>
  <sheetViews>
    <sheetView showGridLines="0" zoomScaleNormal="100" zoomScaleSheetLayoutView="75" workbookViewId="0">
      <selection activeCell="AI9" sqref="AI9"/>
    </sheetView>
  </sheetViews>
  <sheetFormatPr baseColWidth="10" defaultColWidth="11.42578125" defaultRowHeight="12.75" customHeight="1" x14ac:dyDescent="0.2"/>
  <cols>
    <col min="1" max="1" width="11.42578125" style="3" customWidth="1"/>
    <col min="2" max="2" width="1.7109375" style="3" customWidth="1"/>
    <col min="3" max="3" width="2.85546875" style="3" customWidth="1"/>
    <col min="4" max="4" width="13.28515625" style="3" customWidth="1"/>
    <col min="5" max="5" width="6.28515625" style="3" customWidth="1"/>
    <col min="6" max="6" width="10.85546875" style="3" customWidth="1"/>
    <col min="7" max="7" width="3.5703125" style="3" bestFit="1" customWidth="1"/>
    <col min="8" max="8" width="8.140625" style="3" bestFit="1" customWidth="1"/>
    <col min="9" max="9" width="1.7109375" style="3" customWidth="1"/>
    <col min="10" max="10" width="9.42578125" style="3" customWidth="1"/>
    <col min="11" max="11" width="1.7109375" style="3" customWidth="1"/>
    <col min="12" max="12" width="8.140625" style="3" bestFit="1" customWidth="1"/>
    <col min="13" max="13" width="1.7109375" style="3" customWidth="1"/>
    <col min="14" max="14" width="1.85546875" style="3" customWidth="1"/>
    <col min="15" max="15" width="5.42578125" style="3" customWidth="1"/>
    <col min="16" max="18" width="11.42578125" style="3" customWidth="1"/>
    <col min="19" max="19" width="26.5703125" style="3" hidden="1" customWidth="1"/>
    <col min="20" max="24" width="11.42578125" style="3" hidden="1" customWidth="1"/>
    <col min="25" max="25" width="3.140625" style="3" hidden="1" customWidth="1"/>
    <col min="26" max="27" width="11.42578125" style="3" hidden="1" customWidth="1"/>
    <col min="28" max="16384" width="11.42578125" style="3"/>
  </cols>
  <sheetData>
    <row r="1" spans="2:21" ht="12.75" customHeight="1" x14ac:dyDescent="0.2">
      <c r="N1" s="54" t="s">
        <v>125</v>
      </c>
    </row>
    <row r="2" spans="2:21" ht="16.5" customHeight="1" x14ac:dyDescent="0.2">
      <c r="B2"/>
      <c r="C2"/>
      <c r="D2"/>
      <c r="E2"/>
      <c r="F2"/>
      <c r="G2"/>
      <c r="H2"/>
      <c r="I2"/>
      <c r="J2"/>
      <c r="K2"/>
      <c r="L2"/>
      <c r="M2"/>
      <c r="N2"/>
      <c r="S2" s="189"/>
      <c r="T2" s="189">
        <v>1.57</v>
      </c>
    </row>
    <row r="3" spans="2:21" ht="12.75" customHeight="1" x14ac:dyDescent="0.2">
      <c r="B3"/>
      <c r="C3"/>
      <c r="D3"/>
      <c r="E3"/>
      <c r="F3"/>
      <c r="G3"/>
      <c r="H3"/>
      <c r="I3"/>
      <c r="J3"/>
      <c r="K3"/>
      <c r="L3"/>
      <c r="M3"/>
      <c r="N3"/>
      <c r="S3" s="189">
        <v>1</v>
      </c>
      <c r="T3" s="189">
        <v>4.8</v>
      </c>
    </row>
    <row r="4" spans="2:21" ht="12.75" customHeight="1" thickBot="1" x14ac:dyDescent="0.25">
      <c r="B4"/>
      <c r="C4"/>
      <c r="D4"/>
      <c r="E4"/>
      <c r="F4"/>
      <c r="G4"/>
      <c r="H4"/>
      <c r="I4"/>
      <c r="J4"/>
      <c r="K4"/>
      <c r="L4"/>
      <c r="M4"/>
      <c r="N4"/>
    </row>
    <row r="5" spans="2:21" ht="12.75" customHeight="1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S5" s="37" t="s">
        <v>61</v>
      </c>
      <c r="U5" s="3" t="str">
        <f>IF(ISERROR(VLOOKUP($F$4,Stammdaten!$C$13:$O$34,1,FALSE)&amp;", "&amp;VLOOKUP($F$4,Stammdaten!$C$13:$O$34,7,FALSE)&amp;", "&amp;VLOOKUP($F$4,Stammdaten!$C$13:$O$34,8,FALSE)&amp;" "&amp;VLOOKUP($F$4,Stammdaten!$C$13:$O$34,9,FALSE)),"Fehler",VLOOKUP($F$4,Stammdaten!$C$13:$O$34,1,FALSE)&amp;", "&amp;VLOOKUP($F$4,Stammdaten!$C$13:$O$34,7,FALSE)&amp;", "&amp;VLOOKUP($F$4,Stammdaten!$C$13:$O$34,8,FALSE)&amp;" "&amp;VLOOKUP($F$4,Stammdaten!$C$13:$O$34,9,FALSE))</f>
        <v>Fehler</v>
      </c>
    </row>
    <row r="6" spans="2:21" ht="12.75" customHeight="1" x14ac:dyDescent="0.2">
      <c r="B6"/>
      <c r="C6"/>
      <c r="D6"/>
      <c r="E6"/>
      <c r="F6"/>
      <c r="G6"/>
      <c r="H6"/>
      <c r="I6"/>
      <c r="J6"/>
      <c r="K6"/>
      <c r="L6"/>
      <c r="M6"/>
      <c r="N6"/>
      <c r="S6" s="36" t="str">
        <f>+IF(Stammdaten!G13="","",Stammdaten!G13)</f>
        <v>Mustermann, Max</v>
      </c>
    </row>
    <row r="7" spans="2:21" ht="12.75" customHeight="1" x14ac:dyDescent="0.2">
      <c r="B7"/>
      <c r="C7"/>
      <c r="D7"/>
      <c r="E7"/>
      <c r="F7"/>
      <c r="G7"/>
      <c r="H7"/>
      <c r="I7"/>
      <c r="J7"/>
      <c r="K7"/>
      <c r="L7"/>
      <c r="M7"/>
      <c r="N7"/>
      <c r="S7" s="9" t="str">
        <f>+IF(Stammdaten!G14="","",Stammdaten!G14)</f>
        <v>Müller, Hein-Otto</v>
      </c>
    </row>
    <row r="8" spans="2:21" ht="12.75" customHeight="1" x14ac:dyDescent="0.2">
      <c r="B8"/>
      <c r="C8"/>
      <c r="D8"/>
      <c r="E8"/>
      <c r="F8"/>
      <c r="G8"/>
      <c r="H8"/>
      <c r="I8"/>
      <c r="J8"/>
      <c r="K8"/>
      <c r="L8"/>
      <c r="M8"/>
      <c r="N8"/>
      <c r="S8" s="9" t="str">
        <f>+IF(Stammdaten!G15="","",Stammdaten!G15)</f>
        <v>Meier, Otti</v>
      </c>
    </row>
    <row r="9" spans="2:21" ht="17.25" customHeight="1" x14ac:dyDescent="0.2">
      <c r="B9"/>
      <c r="C9"/>
      <c r="D9"/>
      <c r="E9"/>
      <c r="F9"/>
      <c r="G9"/>
      <c r="H9"/>
      <c r="I9"/>
      <c r="J9"/>
      <c r="K9"/>
      <c r="L9"/>
      <c r="M9"/>
      <c r="N9"/>
      <c r="S9" s="9" t="str">
        <f>+IF(Stammdaten!G16="","",Stammdaten!G16)</f>
        <v/>
      </c>
    </row>
    <row r="10" spans="2:21" ht="15.75" customHeight="1" x14ac:dyDescent="0.2">
      <c r="B10"/>
      <c r="C10"/>
      <c r="D10"/>
      <c r="E10"/>
      <c r="F10"/>
      <c r="G10"/>
      <c r="H10"/>
      <c r="I10"/>
      <c r="J10"/>
      <c r="K10"/>
      <c r="L10"/>
      <c r="M10"/>
      <c r="N10"/>
      <c r="S10" s="9" t="str">
        <f>+IF(Stammdaten!G17="","",Stammdaten!G17)</f>
        <v/>
      </c>
    </row>
    <row r="11" spans="2:21" ht="12.75" customHeight="1" x14ac:dyDescent="0.2">
      <c r="B11"/>
      <c r="C11"/>
      <c r="D11"/>
      <c r="E11"/>
      <c r="F11"/>
      <c r="G11"/>
      <c r="H11"/>
      <c r="I11"/>
      <c r="J11"/>
      <c r="K11"/>
      <c r="L11"/>
      <c r="M11"/>
      <c r="N11"/>
      <c r="S11" s="9" t="str">
        <f>+IF(Stammdaten!G18="","",Stammdaten!G18)</f>
        <v/>
      </c>
    </row>
    <row r="12" spans="2:21" ht="15" customHeight="1" x14ac:dyDescent="0.2">
      <c r="B12"/>
      <c r="C12"/>
      <c r="D12"/>
      <c r="E12"/>
      <c r="F12"/>
      <c r="G12"/>
      <c r="H12"/>
      <c r="I12"/>
      <c r="J12"/>
      <c r="K12"/>
      <c r="L12"/>
      <c r="M12"/>
      <c r="N12"/>
      <c r="S12" s="9" t="str">
        <f>+IF(Stammdaten!G19="","",Stammdaten!G19)</f>
        <v/>
      </c>
    </row>
    <row r="13" spans="2:21" ht="12.75" customHeight="1" x14ac:dyDescent="0.2">
      <c r="B13"/>
      <c r="C13"/>
      <c r="D13"/>
      <c r="E13"/>
      <c r="F13"/>
      <c r="G13"/>
      <c r="H13"/>
      <c r="I13"/>
      <c r="J13"/>
      <c r="K13"/>
      <c r="L13"/>
      <c r="M13"/>
      <c r="N13"/>
      <c r="S13" s="9" t="str">
        <f>+IF(Stammdaten!G20="","",Stammdaten!G20)</f>
        <v/>
      </c>
    </row>
    <row r="14" spans="2:21" ht="12.75" customHeight="1" x14ac:dyDescent="0.2">
      <c r="B14"/>
      <c r="C14"/>
      <c r="D14"/>
      <c r="E14"/>
      <c r="F14"/>
      <c r="G14"/>
      <c r="H14"/>
      <c r="I14"/>
      <c r="J14"/>
      <c r="K14"/>
      <c r="L14"/>
      <c r="M14"/>
      <c r="N14"/>
      <c r="S14" s="9" t="str">
        <f>+IF(Stammdaten!G21="","",Stammdaten!G21)</f>
        <v/>
      </c>
    </row>
    <row r="15" spans="2:21" ht="12.75" customHeight="1" x14ac:dyDescent="0.2">
      <c r="B15"/>
      <c r="C15"/>
      <c r="D15"/>
      <c r="E15"/>
      <c r="F15"/>
      <c r="G15"/>
      <c r="H15"/>
      <c r="I15"/>
      <c r="J15"/>
      <c r="K15"/>
      <c r="L15"/>
      <c r="M15"/>
      <c r="N15"/>
      <c r="S15" s="9" t="str">
        <f>+IF(Stammdaten!G22="","",Stammdaten!G22)</f>
        <v/>
      </c>
    </row>
    <row r="16" spans="2:21" ht="12.75" customHeight="1" x14ac:dyDescent="0.2">
      <c r="B16"/>
      <c r="C16"/>
      <c r="D16"/>
      <c r="E16"/>
      <c r="F16"/>
      <c r="G16"/>
      <c r="H16"/>
      <c r="I16"/>
      <c r="J16"/>
      <c r="K16"/>
      <c r="L16"/>
      <c r="M16"/>
      <c r="N16"/>
      <c r="S16" s="9" t="str">
        <f>+IF(Stammdaten!G23="","",Stammdaten!G23)</f>
        <v/>
      </c>
    </row>
    <row r="17" spans="2:21" ht="12.75" customHeight="1" x14ac:dyDescent="0.2">
      <c r="B17"/>
      <c r="C17"/>
      <c r="D17"/>
      <c r="E17"/>
      <c r="F17"/>
      <c r="G17"/>
      <c r="H17"/>
      <c r="I17"/>
      <c r="J17"/>
      <c r="K17"/>
      <c r="L17"/>
      <c r="M17"/>
      <c r="N17"/>
      <c r="S17" s="9" t="str">
        <f>+IF(Stammdaten!G24="","",Stammdaten!G24)</f>
        <v/>
      </c>
    </row>
    <row r="18" spans="2:21" ht="12.75" customHeight="1" x14ac:dyDescent="0.2">
      <c r="B18"/>
      <c r="C18"/>
      <c r="D18"/>
      <c r="E18"/>
      <c r="F18"/>
      <c r="G18"/>
      <c r="H18"/>
      <c r="I18"/>
      <c r="J18"/>
      <c r="K18"/>
      <c r="L18"/>
      <c r="M18"/>
      <c r="N18"/>
      <c r="S18" s="9" t="str">
        <f>+IF(Stammdaten!G25="","",Stammdaten!G25)</f>
        <v/>
      </c>
    </row>
    <row r="19" spans="2:21" ht="12.75" customHeight="1" x14ac:dyDescent="0.2">
      <c r="B19"/>
      <c r="C19"/>
      <c r="D19"/>
      <c r="E19"/>
      <c r="F19"/>
      <c r="G19"/>
      <c r="H19"/>
      <c r="I19"/>
      <c r="J19"/>
      <c r="K19"/>
      <c r="L19"/>
      <c r="M19"/>
      <c r="N19"/>
      <c r="S19" s="9" t="str">
        <f>+IF(Stammdaten!G26="","",Stammdaten!G26)</f>
        <v/>
      </c>
    </row>
    <row r="20" spans="2:21" ht="12.75" customHeight="1" x14ac:dyDescent="0.2">
      <c r="B20"/>
      <c r="C20"/>
      <c r="D20"/>
      <c r="E20"/>
      <c r="F20"/>
      <c r="G20"/>
      <c r="H20"/>
      <c r="I20"/>
      <c r="J20"/>
      <c r="K20"/>
      <c r="L20"/>
      <c r="M20"/>
      <c r="N20"/>
      <c r="S20" s="9" t="str">
        <f>+IF(Stammdaten!G27="","",Stammdaten!G27)</f>
        <v/>
      </c>
    </row>
    <row r="21" spans="2:21" ht="12.75" customHeight="1" x14ac:dyDescent="0.2">
      <c r="B21"/>
      <c r="C21"/>
      <c r="D21"/>
      <c r="E21"/>
      <c r="F21"/>
      <c r="G21"/>
      <c r="H21"/>
      <c r="I21"/>
      <c r="J21"/>
      <c r="K21"/>
      <c r="L21"/>
      <c r="M21"/>
      <c r="N21"/>
      <c r="S21" s="9" t="str">
        <f>+IF(Stammdaten!G28="","",Stammdaten!G28)</f>
        <v/>
      </c>
    </row>
    <row r="22" spans="2:21" ht="12.75" customHeight="1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S22" s="9" t="str">
        <f>+IF(Stammdaten!G29="","",Stammdaten!G29)</f>
        <v/>
      </c>
    </row>
    <row r="23" spans="2:21" ht="12.75" customHeight="1" x14ac:dyDescent="0.2">
      <c r="B23"/>
      <c r="C23"/>
      <c r="D23"/>
      <c r="E23"/>
      <c r="F23"/>
      <c r="G23"/>
      <c r="H23"/>
      <c r="I23"/>
      <c r="J23"/>
      <c r="K23"/>
      <c r="L23"/>
      <c r="M23"/>
      <c r="N23"/>
      <c r="S23" s="9" t="str">
        <f>+IF(Stammdaten!G30="","",Stammdaten!G30)</f>
        <v/>
      </c>
    </row>
    <row r="24" spans="2:21" ht="12.75" customHeight="1" x14ac:dyDescent="0.2">
      <c r="B24"/>
      <c r="C24"/>
      <c r="D24"/>
      <c r="E24"/>
      <c r="F24"/>
      <c r="G24"/>
      <c r="H24"/>
      <c r="I24"/>
      <c r="J24"/>
      <c r="K24"/>
      <c r="L24"/>
      <c r="M24"/>
      <c r="N24"/>
      <c r="S24" s="9" t="str">
        <f>+IF(Stammdaten!G31="","",Stammdaten!G31)</f>
        <v/>
      </c>
    </row>
    <row r="25" spans="2:21" ht="12.75" customHeight="1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S25" s="9" t="str">
        <f>+IF(Stammdaten!G33="","",Stammdaten!G33)</f>
        <v/>
      </c>
    </row>
    <row r="26" spans="2:21" ht="12.75" customHeight="1" thickBo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S26" s="15" t="str">
        <f>+IF(Stammdaten!G34="","",Stammdaten!G34)</f>
        <v/>
      </c>
    </row>
    <row r="27" spans="2:21" ht="12.75" customHeight="1" x14ac:dyDescent="0.2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2:21" ht="12.75" customHeight="1" x14ac:dyDescent="0.2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2:21" ht="12.75" customHeight="1" x14ac:dyDescent="0.2">
      <c r="B29"/>
      <c r="C29"/>
      <c r="D29"/>
      <c r="E29"/>
      <c r="F29"/>
      <c r="G29"/>
      <c r="H29"/>
      <c r="I29"/>
      <c r="J29"/>
      <c r="K29"/>
      <c r="L29"/>
      <c r="M29"/>
      <c r="N29"/>
      <c r="S29" s="3" t="s">
        <v>146</v>
      </c>
      <c r="T29" s="3">
        <f>+IF(S3=1,T2,T3)</f>
        <v>1.57</v>
      </c>
      <c r="U29" s="3">
        <f>+IF(ISERROR(T29*J28),0,T29*J28)</f>
        <v>0</v>
      </c>
    </row>
    <row r="30" spans="2:21" ht="12.75" customHeight="1" thickBo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2:21" ht="12.75" customHeight="1" thickBo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S31" s="40" t="s">
        <v>77</v>
      </c>
      <c r="T31" s="61">
        <v>1</v>
      </c>
      <c r="U31" s="41" t="str">
        <f>+VLOOKUP(T31,Pauschalen!E6:F230,2,FALSE)</f>
        <v>Deutschland</v>
      </c>
    </row>
    <row r="32" spans="2:21" ht="12.75" customHeight="1" thickBo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S32" s="40" t="s">
        <v>78</v>
      </c>
      <c r="T32" s="62" t="b">
        <v>1</v>
      </c>
      <c r="U32" s="42">
        <f>+IF(T32=FALSE(),0,1)</f>
        <v>1</v>
      </c>
    </row>
    <row r="33" spans="2:22" ht="12.75" customHeight="1" thickBo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S33" s="40" t="s">
        <v>76</v>
      </c>
      <c r="T33" s="62" t="b">
        <v>1</v>
      </c>
      <c r="U33" s="194">
        <f>+IF(T33=FALSE(),0,1)</f>
        <v>1</v>
      </c>
      <c r="V33" s="168">
        <f>+IF(U32=0,1,IF(U33=0,1,0))</f>
        <v>0</v>
      </c>
    </row>
    <row r="34" spans="2:22" ht="12.75" customHeight="1" thickBo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22" ht="12.75" customHeight="1" thickBo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S35" s="16" t="s">
        <v>80</v>
      </c>
      <c r="T35" s="17"/>
      <c r="U35" s="48">
        <f>+F7-F6+1</f>
        <v>1</v>
      </c>
    </row>
    <row r="36" spans="2:22" ht="12.75" customHeight="1" x14ac:dyDescent="0.2">
      <c r="B36"/>
      <c r="C36"/>
      <c r="D36"/>
      <c r="E36"/>
      <c r="F36"/>
      <c r="G36"/>
      <c r="H36"/>
      <c r="I36"/>
      <c r="J36"/>
      <c r="K36"/>
      <c r="L36"/>
      <c r="M36"/>
      <c r="N36"/>
      <c r="U36" s="201"/>
    </row>
    <row r="37" spans="2:22" ht="12.75" customHeight="1" x14ac:dyDescent="0.2">
      <c r="B37"/>
      <c r="C37"/>
      <c r="D37"/>
      <c r="E37"/>
      <c r="F37"/>
      <c r="G37"/>
      <c r="H37"/>
      <c r="I37"/>
      <c r="J37"/>
      <c r="K37"/>
      <c r="L37"/>
      <c r="M37"/>
      <c r="N37"/>
      <c r="U37" s="201"/>
    </row>
    <row r="38" spans="2:22" ht="12.75" customHeight="1" x14ac:dyDescent="0.2">
      <c r="B38"/>
      <c r="C38"/>
      <c r="D38"/>
      <c r="E38"/>
      <c r="F38"/>
      <c r="G38"/>
      <c r="H38"/>
      <c r="I38"/>
      <c r="J38"/>
      <c r="K38"/>
      <c r="L38"/>
      <c r="M38"/>
      <c r="N38"/>
      <c r="U38" s="201"/>
    </row>
    <row r="39" spans="2:22" ht="12.75" customHeight="1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U39" s="201"/>
    </row>
    <row r="40" spans="2:22" ht="12.75" customHeight="1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U40" s="201"/>
    </row>
    <row r="41" spans="2:22" ht="12.75" customHeight="1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U41" s="201"/>
    </row>
    <row r="42" spans="2:22" ht="12.75" customHeight="1" x14ac:dyDescent="0.2">
      <c r="B42"/>
      <c r="C42"/>
      <c r="D42"/>
      <c r="E42"/>
      <c r="F42"/>
      <c r="G42"/>
      <c r="H42"/>
      <c r="I42"/>
      <c r="J42"/>
      <c r="K42"/>
      <c r="L42"/>
      <c r="M42"/>
      <c r="N42"/>
      <c r="U42" s="201"/>
    </row>
    <row r="43" spans="2:22" ht="12.75" customHeight="1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U43" s="201"/>
    </row>
    <row r="44" spans="2:22" ht="12.75" customHeight="1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U44" s="201"/>
    </row>
    <row r="45" spans="2:22" ht="12.75" customHeight="1" x14ac:dyDescent="0.2">
      <c r="B45"/>
      <c r="C45"/>
      <c r="D45"/>
      <c r="E45"/>
      <c r="F45"/>
      <c r="G45"/>
      <c r="H45"/>
      <c r="I45"/>
      <c r="J45"/>
      <c r="K45"/>
      <c r="L45"/>
      <c r="M45"/>
      <c r="N45"/>
      <c r="U45" s="201"/>
    </row>
    <row r="46" spans="2:22" ht="12.75" customHeight="1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U46" s="201"/>
    </row>
    <row r="47" spans="2:22" ht="12.75" customHeight="1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U47" s="201"/>
    </row>
    <row r="48" spans="2:22" ht="12.75" customHeight="1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U48" s="201"/>
    </row>
    <row r="49" spans="2:21" ht="12.75" customHeight="1" x14ac:dyDescent="0.2">
      <c r="B49"/>
      <c r="C49"/>
      <c r="D49"/>
      <c r="E49"/>
      <c r="F49"/>
      <c r="G49"/>
      <c r="H49"/>
      <c r="I49"/>
      <c r="J49"/>
      <c r="K49"/>
      <c r="L49"/>
      <c r="M49"/>
      <c r="N49"/>
      <c r="U49" s="201"/>
    </row>
    <row r="50" spans="2:21" ht="12.75" customHeight="1" x14ac:dyDescent="0.2">
      <c r="B50"/>
      <c r="C50"/>
      <c r="D50"/>
      <c r="E50"/>
      <c r="F50"/>
      <c r="G50"/>
      <c r="H50"/>
      <c r="I50"/>
      <c r="J50"/>
      <c r="K50"/>
      <c r="L50"/>
      <c r="M50"/>
      <c r="N50"/>
      <c r="U50" s="201"/>
    </row>
    <row r="51" spans="2:21" ht="12.75" customHeight="1" x14ac:dyDescent="0.2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21" ht="12.75" customHeight="1" thickBot="1" x14ac:dyDescent="0.25"/>
    <row r="53" spans="2:21" ht="12.75" customHeight="1" thickBot="1" x14ac:dyDescent="0.25">
      <c r="B53" s="246" t="s">
        <v>138</v>
      </c>
      <c r="C53" s="246"/>
      <c r="D53" s="246"/>
      <c r="E53" s="172" t="s">
        <v>139</v>
      </c>
      <c r="F53" s="173" t="s">
        <v>125</v>
      </c>
      <c r="G53" s="245" t="s">
        <v>137</v>
      </c>
      <c r="H53" s="245"/>
      <c r="I53" s="245"/>
      <c r="S53" s="37" t="s">
        <v>107</v>
      </c>
    </row>
    <row r="54" spans="2:21" ht="12.75" customHeight="1" x14ac:dyDescent="0.2">
      <c r="B54" s="116"/>
      <c r="S54" s="13" t="str">
        <f>IF(Stammdaten!T9="","",Stammdaten!T9)</f>
        <v>Mietwagen</v>
      </c>
    </row>
    <row r="55" spans="2:21" ht="12.75" customHeight="1" x14ac:dyDescent="0.2">
      <c r="B55" s="163" t="s">
        <v>402</v>
      </c>
      <c r="S55" s="9" t="str">
        <f>IF(Stammdaten!T10="","",Stammdaten!T10)</f>
        <v>Bewirtungskosten</v>
      </c>
    </row>
    <row r="56" spans="2:21" ht="12.75" customHeight="1" x14ac:dyDescent="0.2">
      <c r="B56" s="163" t="s">
        <v>118</v>
      </c>
      <c r="S56" s="9" t="str">
        <f>IF(Stammdaten!T11="","",Stammdaten!T11)</f>
        <v>öffentliche Verkehrsmittel</v>
      </c>
    </row>
    <row r="57" spans="2:21" ht="12.75" customHeight="1" x14ac:dyDescent="0.2">
      <c r="B57" s="163" t="s">
        <v>110</v>
      </c>
      <c r="S57" s="9" t="str">
        <f>IF(Stammdaten!T12="","",Stammdaten!T12)</f>
        <v>Geschenke</v>
      </c>
    </row>
    <row r="58" spans="2:21" ht="12.75" customHeight="1" x14ac:dyDescent="0.2">
      <c r="S58" s="9" t="str">
        <f>IF(Stammdaten!T13="","",Stammdaten!T13)</f>
        <v>Taxi 7%</v>
      </c>
    </row>
    <row r="59" spans="2:21" ht="12.75" customHeight="1" x14ac:dyDescent="0.2">
      <c r="S59" s="9" t="str">
        <f>IF(Stammdaten!T14="","",Stammdaten!T14)</f>
        <v>Taxi 19%</v>
      </c>
    </row>
    <row r="60" spans="2:21" ht="12.75" customHeight="1" x14ac:dyDescent="0.2">
      <c r="S60" s="9" t="str">
        <f>IF(Stammdaten!T15="","",Stammdaten!T15)</f>
        <v>Kfz: Parkgebühren</v>
      </c>
    </row>
    <row r="61" spans="2:21" ht="12.75" customHeight="1" x14ac:dyDescent="0.2">
      <c r="S61" s="9" t="str">
        <f>IF(Stammdaten!T16="","",Stammdaten!T16)</f>
        <v>Telefon / Handy</v>
      </c>
    </row>
    <row r="62" spans="2:21" ht="12.75" customHeight="1" x14ac:dyDescent="0.2">
      <c r="S62" s="9" t="str">
        <f>IF(Stammdaten!T17="","",Stammdaten!T17)</f>
        <v>Kfz: sonstige Kosten</v>
      </c>
    </row>
    <row r="63" spans="2:21" ht="12.75" customHeight="1" x14ac:dyDescent="0.2">
      <c r="S63" s="9" t="str">
        <f>IF(Stammdaten!T18="","",Stammdaten!T18)</f>
        <v>Kfz: Treibstoff</v>
      </c>
    </row>
    <row r="64" spans="2:21" ht="12.75" customHeight="1" x14ac:dyDescent="0.2">
      <c r="S64" s="9" t="str">
        <f>IF(Stammdaten!T19="","",Stammdaten!T19)</f>
        <v/>
      </c>
    </row>
    <row r="65" spans="19:19" ht="12.75" customHeight="1" x14ac:dyDescent="0.2">
      <c r="S65" s="9" t="str">
        <f>IF(Stammdaten!T20="","",Stammdaten!T20)</f>
        <v/>
      </c>
    </row>
    <row r="66" spans="19:19" ht="12.75" customHeight="1" x14ac:dyDescent="0.2">
      <c r="S66" s="9" t="str">
        <f>IF(Stammdaten!T21="","",Stammdaten!T21)</f>
        <v/>
      </c>
    </row>
    <row r="67" spans="19:19" ht="12.75" customHeight="1" x14ac:dyDescent="0.2">
      <c r="S67" s="9" t="str">
        <f>IF(Stammdaten!T22="","",Stammdaten!T22)</f>
        <v/>
      </c>
    </row>
    <row r="68" spans="19:19" ht="12.75" customHeight="1" x14ac:dyDescent="0.2">
      <c r="S68" s="9" t="str">
        <f>IF(Stammdaten!T23="","",Stammdaten!T23)</f>
        <v/>
      </c>
    </row>
    <row r="69" spans="19:19" ht="12.75" customHeight="1" x14ac:dyDescent="0.2">
      <c r="S69" s="9" t="str">
        <f>IF(Stammdaten!T24="","",Stammdaten!T24)</f>
        <v/>
      </c>
    </row>
    <row r="70" spans="19:19" ht="12.75" customHeight="1" x14ac:dyDescent="0.2">
      <c r="S70" s="9" t="str">
        <f>IF(Stammdaten!T25="","",Stammdaten!T25)</f>
        <v/>
      </c>
    </row>
    <row r="71" spans="19:19" ht="12.75" customHeight="1" x14ac:dyDescent="0.2">
      <c r="S71" s="9" t="str">
        <f>IF(Stammdaten!T26="","",Stammdaten!T26)</f>
        <v/>
      </c>
    </row>
    <row r="72" spans="19:19" ht="12.75" customHeight="1" x14ac:dyDescent="0.2">
      <c r="S72" s="9" t="str">
        <f>IF(Stammdaten!T27="","",Stammdaten!T27)</f>
        <v/>
      </c>
    </row>
    <row r="73" spans="19:19" ht="12.75" customHeight="1" x14ac:dyDescent="0.2">
      <c r="S73" s="9" t="str">
        <f>IF(Stammdaten!T28="","",Stammdaten!T28)</f>
        <v/>
      </c>
    </row>
    <row r="74" spans="19:19" ht="12.75" customHeight="1" x14ac:dyDescent="0.2">
      <c r="S74" s="9" t="str">
        <f>IF(Stammdaten!T29="","",Stammdaten!T29)</f>
        <v/>
      </c>
    </row>
    <row r="75" spans="19:19" ht="12.75" customHeight="1" x14ac:dyDescent="0.2">
      <c r="S75" s="9" t="str">
        <f>IF(Stammdaten!T30="","",Stammdaten!T30)</f>
        <v/>
      </c>
    </row>
    <row r="76" spans="19:19" ht="12.75" customHeight="1" x14ac:dyDescent="0.2">
      <c r="S76" s="9" t="str">
        <f>IF(Stammdaten!T31="","",Stammdaten!T31)</f>
        <v/>
      </c>
    </row>
    <row r="77" spans="19:19" ht="12.75" customHeight="1" x14ac:dyDescent="0.2">
      <c r="S77" s="9" t="str">
        <f>IF(Stammdaten!T32="","",Stammdaten!T32)</f>
        <v/>
      </c>
    </row>
    <row r="78" spans="19:19" ht="12.75" customHeight="1" x14ac:dyDescent="0.2">
      <c r="S78" s="9" t="str">
        <f>IF(Stammdaten!T33="","",Stammdaten!T33)</f>
        <v/>
      </c>
    </row>
    <row r="79" spans="19:19" ht="12.75" customHeight="1" thickBot="1" x14ac:dyDescent="0.25">
      <c r="S79" s="15" t="str">
        <f>IF(Stammdaten!T34="","",Stammdaten!T34)</f>
        <v/>
      </c>
    </row>
  </sheetData>
  <sheetProtection sheet="1" objects="1" scenarios="1"/>
  <mergeCells count="2">
    <mergeCell ref="G53:I53"/>
    <mergeCell ref="B53:D53"/>
  </mergeCells>
  <phoneticPr fontId="0" type="noConversion"/>
  <hyperlinks>
    <hyperlink ref="B53:D53" location="Startseite!Startseite" display="&lt;&lt; Startseite" xr:uid="{00000000-0004-0000-0300-000000000000}"/>
    <hyperlink ref="E53" location="HilfeB3" display="Hilfe?" xr:uid="{00000000-0004-0000-0300-000001000000}"/>
    <hyperlink ref="F53" location="BeispielB2" display="Beispiel" xr:uid="{00000000-0004-0000-0300-000002000000}"/>
    <hyperlink ref="G53:I53" location="StammdatenB3" display="Stammdaten" xr:uid="{00000000-0004-0000-0300-000003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autoPageBreaks="0"/>
  </sheetPr>
  <dimension ref="A2:IR19"/>
  <sheetViews>
    <sheetView showGridLines="0" showZeros="0" showOutlineSymbols="0" workbookViewId="0">
      <selection activeCell="B3" sqref="B3:F3"/>
    </sheetView>
  </sheetViews>
  <sheetFormatPr baseColWidth="10" defaultColWidth="11.42578125" defaultRowHeight="12.75" x14ac:dyDescent="0.2"/>
  <cols>
    <col min="1" max="1" width="11.42578125" style="3" customWidth="1"/>
    <col min="2" max="3" width="1.5703125" style="3" customWidth="1"/>
    <col min="4" max="4" width="64" style="3" customWidth="1"/>
    <col min="5" max="5" width="1.5703125" style="3" customWidth="1"/>
    <col min="6" max="6" width="1.7109375" style="3" customWidth="1"/>
    <col min="7" max="7" width="2.7109375" style="3" customWidth="1"/>
    <col min="8" max="16384" width="11.42578125" style="3"/>
  </cols>
  <sheetData>
    <row r="2" spans="1:252" ht="13.5" thickBot="1" x14ac:dyDescent="0.25">
      <c r="F2" s="54" t="s">
        <v>128</v>
      </c>
    </row>
    <row r="3" spans="1:252" s="1" customFormat="1" ht="25.5" customHeight="1" thickBot="1" x14ac:dyDescent="0.25">
      <c r="A3" s="3"/>
      <c r="B3" s="284" t="s">
        <v>405</v>
      </c>
      <c r="C3" s="285"/>
      <c r="D3" s="285"/>
      <c r="E3" s="285"/>
      <c r="F3" s="28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252" x14ac:dyDescent="0.2">
      <c r="B4" s="4"/>
      <c r="F4" s="5"/>
    </row>
    <row r="5" spans="1:252" x14ac:dyDescent="0.2">
      <c r="B5" s="4"/>
      <c r="C5" s="139"/>
      <c r="D5" s="140" t="s">
        <v>3</v>
      </c>
      <c r="E5" s="2"/>
      <c r="F5" s="5"/>
    </row>
    <row r="6" spans="1:252" ht="289.5" customHeight="1" x14ac:dyDescent="0.2">
      <c r="B6" s="4"/>
      <c r="C6" s="144"/>
      <c r="D6" s="150"/>
      <c r="E6" s="143"/>
      <c r="F6" s="5"/>
    </row>
    <row r="7" spans="1:252" ht="13.5" thickBot="1" x14ac:dyDescent="0.25">
      <c r="B7" s="4"/>
      <c r="C7" s="147"/>
      <c r="D7" s="148"/>
      <c r="E7" s="149"/>
      <c r="F7" s="5"/>
    </row>
    <row r="8" spans="1:252" x14ac:dyDescent="0.2">
      <c r="B8" s="4"/>
      <c r="F8" s="5"/>
    </row>
    <row r="9" spans="1:252" x14ac:dyDescent="0.2">
      <c r="B9" s="4"/>
      <c r="C9" s="139"/>
      <c r="D9" s="140" t="s">
        <v>113</v>
      </c>
      <c r="E9" s="2"/>
      <c r="F9" s="5"/>
    </row>
    <row r="10" spans="1:252" x14ac:dyDescent="0.2">
      <c r="B10" s="4"/>
      <c r="C10" s="141"/>
      <c r="D10" s="142"/>
      <c r="E10" s="143"/>
      <c r="F10" s="5"/>
    </row>
    <row r="11" spans="1:252" ht="233.25" customHeight="1" x14ac:dyDescent="0.2">
      <c r="B11" s="4"/>
      <c r="C11" s="144"/>
      <c r="D11" s="145"/>
      <c r="E11" s="146"/>
      <c r="F11" s="5"/>
    </row>
    <row r="12" spans="1:252" ht="13.5" thickBot="1" x14ac:dyDescent="0.25">
      <c r="B12" s="4"/>
      <c r="C12" s="147"/>
      <c r="D12" s="148"/>
      <c r="E12" s="149"/>
      <c r="F12" s="5"/>
    </row>
    <row r="13" spans="1:252" ht="13.5" thickBot="1" x14ac:dyDescent="0.25">
      <c r="B13" s="6"/>
      <c r="C13" s="7"/>
      <c r="D13" s="7"/>
      <c r="E13" s="7"/>
      <c r="F13" s="8"/>
    </row>
    <row r="15" spans="1:252" x14ac:dyDescent="0.2">
      <c r="B15" s="246" t="s">
        <v>138</v>
      </c>
      <c r="C15" s="246"/>
      <c r="D15" s="246"/>
    </row>
    <row r="17" spans="2:2" x14ac:dyDescent="0.2">
      <c r="B17" s="163" t="s">
        <v>402</v>
      </c>
    </row>
    <row r="18" spans="2:2" x14ac:dyDescent="0.2">
      <c r="B18" s="163" t="s">
        <v>118</v>
      </c>
    </row>
    <row r="19" spans="2:2" x14ac:dyDescent="0.2">
      <c r="B19" s="163" t="s">
        <v>110</v>
      </c>
    </row>
  </sheetData>
  <sheetProtection sheet="1" objects="1" scenarios="1"/>
  <mergeCells count="2">
    <mergeCell ref="B3:F3"/>
    <mergeCell ref="B15:D15"/>
  </mergeCells>
  <phoneticPr fontId="0" type="noConversion"/>
  <hyperlinks>
    <hyperlink ref="B15:D15" location="Startseite!Startseite" display="&lt;&lt; Startseite" xr:uid="{00000000-0004-0000-04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autoPageBreaks="0" fitToPage="1"/>
  </sheetPr>
  <dimension ref="A2:IO41"/>
  <sheetViews>
    <sheetView showGridLines="0" zoomScaleNormal="100" workbookViewId="0">
      <selection activeCell="B3" sqref="B3"/>
    </sheetView>
  </sheetViews>
  <sheetFormatPr baseColWidth="10" defaultColWidth="11.42578125" defaultRowHeight="12.75" x14ac:dyDescent="0.2"/>
  <cols>
    <col min="1" max="1" width="2.85546875" style="3" customWidth="1"/>
    <col min="2" max="2" width="1.85546875" style="3" customWidth="1"/>
    <col min="3" max="3" width="17" style="3" hidden="1" customWidth="1"/>
    <col min="4" max="6" width="11.42578125" style="3" customWidth="1"/>
    <col min="7" max="7" width="15" style="3" bestFit="1" customWidth="1"/>
    <col min="8" max="8" width="11.42578125" style="3" customWidth="1"/>
    <col min="9" max="9" width="14" style="3" customWidth="1"/>
    <col min="10" max="11" width="11.42578125" style="3" customWidth="1"/>
    <col min="12" max="12" width="16.85546875" style="3" bestFit="1" customWidth="1"/>
    <col min="13" max="14" width="11" style="3" bestFit="1" customWidth="1"/>
    <col min="15" max="15" width="11.42578125" style="3" customWidth="1"/>
    <col min="16" max="18" width="1.7109375" style="3" customWidth="1"/>
    <col min="19" max="19" width="4.28515625" style="3" customWidth="1"/>
    <col min="20" max="20" width="22.140625" style="3" bestFit="1" customWidth="1"/>
    <col min="21" max="21" width="25.140625" style="3" bestFit="1" customWidth="1"/>
    <col min="22" max="22" width="7.28515625" style="3" bestFit="1" customWidth="1"/>
    <col min="23" max="23" width="1.7109375" style="3" customWidth="1"/>
    <col min="24" max="16384" width="11.42578125" style="3"/>
  </cols>
  <sheetData>
    <row r="2" spans="1:249" ht="13.5" thickBot="1" x14ac:dyDescent="0.25">
      <c r="P2" s="54" t="s">
        <v>137</v>
      </c>
    </row>
    <row r="3" spans="1:249" ht="17.25" thickBot="1" x14ac:dyDescent="0.25">
      <c r="B3" s="174" t="s">
        <v>406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6"/>
      <c r="R3" s="174" t="s">
        <v>57</v>
      </c>
      <c r="S3" s="175"/>
      <c r="T3" s="175"/>
      <c r="U3" s="175"/>
      <c r="V3" s="175"/>
      <c r="W3" s="176"/>
      <c r="Y3" s="91">
        <v>2</v>
      </c>
    </row>
    <row r="4" spans="1:249" s="29" customFormat="1" ht="6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</row>
    <row r="5" spans="1:249" x14ac:dyDescent="0.2"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  <c r="R5" s="30"/>
      <c r="S5" s="31"/>
      <c r="T5" s="31"/>
      <c r="U5" s="31"/>
      <c r="V5" s="31"/>
      <c r="W5" s="32"/>
    </row>
    <row r="6" spans="1:249" x14ac:dyDescent="0.2">
      <c r="B6" s="4"/>
      <c r="D6" s="177" t="s">
        <v>17</v>
      </c>
      <c r="E6" s="177"/>
      <c r="F6" s="178"/>
      <c r="G6" s="178"/>
      <c r="P6" s="5"/>
      <c r="R6" s="4"/>
      <c r="S6" s="177" t="s">
        <v>56</v>
      </c>
      <c r="T6" s="182"/>
      <c r="U6" s="182"/>
      <c r="W6" s="5"/>
    </row>
    <row r="7" spans="1:249" ht="13.5" thickBot="1" x14ac:dyDescent="0.25">
      <c r="B7" s="4"/>
      <c r="P7" s="5"/>
      <c r="R7" s="4"/>
      <c r="W7" s="5"/>
    </row>
    <row r="8" spans="1:249" ht="13.5" thickBot="1" x14ac:dyDescent="0.25">
      <c r="B8" s="4"/>
      <c r="D8" s="11" t="s">
        <v>24</v>
      </c>
      <c r="P8" s="5"/>
      <c r="R8" s="4"/>
      <c r="S8" s="26" t="s">
        <v>55</v>
      </c>
      <c r="T8" s="27" t="s">
        <v>36</v>
      </c>
      <c r="U8" s="27" t="s">
        <v>37</v>
      </c>
      <c r="V8" s="28" t="s">
        <v>172</v>
      </c>
      <c r="W8" s="5"/>
    </row>
    <row r="9" spans="1:249" x14ac:dyDescent="0.2">
      <c r="B9" s="4"/>
      <c r="D9" s="93"/>
      <c r="E9" s="94"/>
      <c r="F9" s="94"/>
      <c r="G9" s="95"/>
      <c r="P9" s="5"/>
      <c r="R9" s="4"/>
      <c r="S9" s="88">
        <v>1</v>
      </c>
      <c r="T9" s="78" t="s">
        <v>48</v>
      </c>
      <c r="U9" s="78" t="s">
        <v>49</v>
      </c>
      <c r="V9" s="216">
        <v>0.19</v>
      </c>
      <c r="W9" s="5"/>
    </row>
    <row r="10" spans="1:249" x14ac:dyDescent="0.2">
      <c r="B10" s="4"/>
      <c r="D10" s="96"/>
      <c r="E10" s="97"/>
      <c r="F10" s="97"/>
      <c r="G10" s="98"/>
      <c r="P10" s="5"/>
      <c r="R10" s="4"/>
      <c r="S10" s="89">
        <f>+IF(T10="","",MAX($S$9:S9)+1)</f>
        <v>2</v>
      </c>
      <c r="T10" s="64" t="s">
        <v>38</v>
      </c>
      <c r="U10" s="64" t="s">
        <v>39</v>
      </c>
      <c r="V10" s="217">
        <v>0.19</v>
      </c>
      <c r="W10" s="5"/>
    </row>
    <row r="11" spans="1:249" ht="13.5" thickBot="1" x14ac:dyDescent="0.25">
      <c r="B11" s="4"/>
      <c r="P11" s="5"/>
      <c r="R11" s="4"/>
      <c r="S11" s="89">
        <f>+IF(T11="","",MAX($S$9:S10)+1)</f>
        <v>3</v>
      </c>
      <c r="T11" s="64" t="s">
        <v>50</v>
      </c>
      <c r="U11" s="64" t="s">
        <v>51</v>
      </c>
      <c r="V11" s="217">
        <v>0.19</v>
      </c>
      <c r="W11" s="5"/>
    </row>
    <row r="12" spans="1:249" ht="26.25" thickBot="1" x14ac:dyDescent="0.25">
      <c r="B12" s="4"/>
      <c r="C12" s="22" t="s">
        <v>25</v>
      </c>
      <c r="D12" s="179" t="s">
        <v>20</v>
      </c>
      <c r="E12" s="180" t="s">
        <v>2</v>
      </c>
      <c r="F12" s="180" t="s">
        <v>1</v>
      </c>
      <c r="G12" s="180" t="s">
        <v>18</v>
      </c>
      <c r="H12" s="180" t="s">
        <v>19</v>
      </c>
      <c r="I12" s="180" t="s">
        <v>4</v>
      </c>
      <c r="J12" s="180" t="s">
        <v>5</v>
      </c>
      <c r="K12" s="180"/>
      <c r="L12" s="180" t="s">
        <v>22</v>
      </c>
      <c r="M12" s="180" t="s">
        <v>21</v>
      </c>
      <c r="N12" s="180" t="s">
        <v>23</v>
      </c>
      <c r="O12" s="181" t="s">
        <v>7</v>
      </c>
      <c r="P12" s="5"/>
      <c r="R12" s="4"/>
      <c r="S12" s="89">
        <f>+IF(T12="","",MAX($S$9:S11)+1)</f>
        <v>4</v>
      </c>
      <c r="T12" s="64" t="s">
        <v>40</v>
      </c>
      <c r="U12" s="64" t="s">
        <v>41</v>
      </c>
      <c r="V12" s="217">
        <v>0.19</v>
      </c>
      <c r="W12" s="5"/>
    </row>
    <row r="13" spans="1:249" x14ac:dyDescent="0.2">
      <c r="B13" s="4"/>
      <c r="C13" s="33" t="str">
        <f t="shared" ref="C13:C34" si="0">+IF(G13="","",G13)</f>
        <v>Mustermann, Max</v>
      </c>
      <c r="D13" s="77">
        <v>1</v>
      </c>
      <c r="E13" s="78" t="s">
        <v>140</v>
      </c>
      <c r="F13" s="78" t="s">
        <v>141</v>
      </c>
      <c r="G13" s="23" t="str">
        <f>IF(ISERROR(IF(OR(E13="",F13=""),"",IF($Y$3=2,E13&amp;", "&amp;F13,F13&amp;", "&amp;E13))),"",IF(OR(E13="",F13=""),"",IF($Y$3=2,E13&amp;", "&amp;F13,F13&amp;", "&amp;E13)))</f>
        <v>Mustermann, Max</v>
      </c>
      <c r="H13" s="78">
        <v>4711</v>
      </c>
      <c r="I13" s="78" t="s">
        <v>142</v>
      </c>
      <c r="J13" s="78">
        <v>47111</v>
      </c>
      <c r="K13" s="78" t="s">
        <v>143</v>
      </c>
      <c r="L13" s="78" t="s">
        <v>144</v>
      </c>
      <c r="M13" s="82" t="s">
        <v>30</v>
      </c>
      <c r="N13" s="82" t="s">
        <v>33</v>
      </c>
      <c r="O13" s="83"/>
      <c r="P13" s="5"/>
      <c r="R13" s="4"/>
      <c r="S13" s="89">
        <f>+IF(T13="","",MAX($S$9:S12)+1)</f>
        <v>5</v>
      </c>
      <c r="T13" s="64" t="s">
        <v>173</v>
      </c>
      <c r="U13" s="64" t="s">
        <v>52</v>
      </c>
      <c r="V13" s="217">
        <v>7.0000000000000007E-2</v>
      </c>
      <c r="W13" s="5"/>
    </row>
    <row r="14" spans="1:249" x14ac:dyDescent="0.2">
      <c r="B14" s="4"/>
      <c r="C14" s="34" t="str">
        <f t="shared" si="0"/>
        <v>Müller, Hein-Otto</v>
      </c>
      <c r="D14" s="79">
        <v>2</v>
      </c>
      <c r="E14" s="64" t="s">
        <v>26</v>
      </c>
      <c r="F14" s="64" t="s">
        <v>27</v>
      </c>
      <c r="G14" s="24" t="str">
        <f t="shared" ref="G14:G34" si="1">IF(ISERROR(IF(OR(E14="",F14=""),"",IF($Y$3=2,E14&amp;", "&amp;F14,F14&amp;", "&amp;E14))),"",IF(OR(E14="",F14=""),"",IF($Y$3=2,E14&amp;", "&amp;F14,F14&amp;", "&amp;E14)))</f>
        <v>Müller, Hein-Otto</v>
      </c>
      <c r="H14" s="64">
        <v>4712</v>
      </c>
      <c r="I14" s="64" t="s">
        <v>60</v>
      </c>
      <c r="J14" s="64">
        <v>47111</v>
      </c>
      <c r="K14" s="64" t="s">
        <v>143</v>
      </c>
      <c r="L14" s="64" t="s">
        <v>144</v>
      </c>
      <c r="M14" s="84" t="s">
        <v>31</v>
      </c>
      <c r="N14" s="84" t="s">
        <v>34</v>
      </c>
      <c r="O14" s="85"/>
      <c r="P14" s="5"/>
      <c r="R14" s="4"/>
      <c r="S14" s="89">
        <f>+IF(T14="","",MAX($S$9:S13)+1)</f>
        <v>6</v>
      </c>
      <c r="T14" s="64" t="s">
        <v>175</v>
      </c>
      <c r="U14" s="64" t="s">
        <v>52</v>
      </c>
      <c r="V14" s="217">
        <v>0.19</v>
      </c>
      <c r="W14" s="5"/>
    </row>
    <row r="15" spans="1:249" x14ac:dyDescent="0.2">
      <c r="B15" s="4"/>
      <c r="C15" s="34" t="str">
        <f t="shared" si="0"/>
        <v>Meier, Otti</v>
      </c>
      <c r="D15" s="79">
        <v>3</v>
      </c>
      <c r="E15" s="64" t="s">
        <v>28</v>
      </c>
      <c r="F15" s="64" t="s">
        <v>29</v>
      </c>
      <c r="G15" s="24" t="str">
        <f t="shared" si="1"/>
        <v>Meier, Otti</v>
      </c>
      <c r="H15" s="64">
        <v>4713</v>
      </c>
      <c r="I15" s="64" t="s">
        <v>59</v>
      </c>
      <c r="J15" s="64">
        <v>47111</v>
      </c>
      <c r="K15" s="64" t="s">
        <v>143</v>
      </c>
      <c r="L15" s="64" t="s">
        <v>144</v>
      </c>
      <c r="M15" s="84" t="s">
        <v>32</v>
      </c>
      <c r="N15" s="84" t="s">
        <v>35</v>
      </c>
      <c r="O15" s="85"/>
      <c r="P15" s="5"/>
      <c r="R15" s="4"/>
      <c r="S15" s="89">
        <f>+IF(T15="","",MAX($S$9:S14)+1)</f>
        <v>7</v>
      </c>
      <c r="T15" s="64" t="s">
        <v>42</v>
      </c>
      <c r="U15" s="64" t="s">
        <v>43</v>
      </c>
      <c r="V15" s="217">
        <v>0.19</v>
      </c>
      <c r="W15" s="5"/>
    </row>
    <row r="16" spans="1:249" x14ac:dyDescent="0.2">
      <c r="B16" s="4"/>
      <c r="C16" s="34" t="str">
        <f t="shared" si="0"/>
        <v/>
      </c>
      <c r="D16" s="79"/>
      <c r="E16" s="64"/>
      <c r="F16" s="64"/>
      <c r="G16" s="24" t="str">
        <f t="shared" si="1"/>
        <v/>
      </c>
      <c r="H16" s="64"/>
      <c r="I16" s="64"/>
      <c r="J16" s="64"/>
      <c r="K16" s="64"/>
      <c r="L16" s="64"/>
      <c r="M16" s="84"/>
      <c r="N16" s="84"/>
      <c r="O16" s="85"/>
      <c r="P16" s="5"/>
      <c r="R16" s="4"/>
      <c r="S16" s="89">
        <f>+IF(T16="","",MAX($S$9:S15)+1)</f>
        <v>8</v>
      </c>
      <c r="T16" s="64" t="s">
        <v>53</v>
      </c>
      <c r="U16" s="64" t="s">
        <v>54</v>
      </c>
      <c r="V16" s="217">
        <v>0.19</v>
      </c>
      <c r="W16" s="5"/>
    </row>
    <row r="17" spans="2:23" x14ac:dyDescent="0.2">
      <c r="B17" s="4"/>
      <c r="C17" s="34" t="str">
        <f t="shared" si="0"/>
        <v/>
      </c>
      <c r="D17" s="79"/>
      <c r="E17" s="64"/>
      <c r="F17" s="64"/>
      <c r="G17" s="24" t="str">
        <f t="shared" si="1"/>
        <v/>
      </c>
      <c r="H17" s="64"/>
      <c r="I17" s="64"/>
      <c r="J17" s="64"/>
      <c r="K17" s="64"/>
      <c r="L17" s="64"/>
      <c r="M17" s="84"/>
      <c r="N17" s="84"/>
      <c r="O17" s="85"/>
      <c r="P17" s="5"/>
      <c r="R17" s="4"/>
      <c r="S17" s="89">
        <f>+IF(T17="","",MAX($S$9:S16)+1)</f>
        <v>9</v>
      </c>
      <c r="T17" s="64" t="s">
        <v>44</v>
      </c>
      <c r="U17" s="64" t="s">
        <v>45</v>
      </c>
      <c r="V17" s="217">
        <v>0.19</v>
      </c>
      <c r="W17" s="5"/>
    </row>
    <row r="18" spans="2:23" x14ac:dyDescent="0.2">
      <c r="B18" s="4"/>
      <c r="C18" s="34" t="str">
        <f t="shared" si="0"/>
        <v/>
      </c>
      <c r="D18" s="79"/>
      <c r="E18" s="64"/>
      <c r="F18" s="64"/>
      <c r="G18" s="24" t="str">
        <f t="shared" si="1"/>
        <v/>
      </c>
      <c r="H18" s="64"/>
      <c r="I18" s="64"/>
      <c r="J18" s="64"/>
      <c r="K18" s="64"/>
      <c r="L18" s="64"/>
      <c r="M18" s="84"/>
      <c r="N18" s="84"/>
      <c r="O18" s="85"/>
      <c r="P18" s="5"/>
      <c r="R18" s="4"/>
      <c r="S18" s="89">
        <f>+IF(T18="","",MAX($S$9:S17)+1)</f>
        <v>10</v>
      </c>
      <c r="T18" s="64" t="s">
        <v>46</v>
      </c>
      <c r="U18" s="64" t="s">
        <v>47</v>
      </c>
      <c r="V18" s="217">
        <v>0.19</v>
      </c>
      <c r="W18" s="5"/>
    </row>
    <row r="19" spans="2:23" x14ac:dyDescent="0.2">
      <c r="B19" s="4"/>
      <c r="C19" s="34" t="str">
        <f t="shared" si="0"/>
        <v/>
      </c>
      <c r="D19" s="79"/>
      <c r="E19" s="64"/>
      <c r="F19" s="64"/>
      <c r="G19" s="24" t="str">
        <f t="shared" si="1"/>
        <v/>
      </c>
      <c r="H19" s="64"/>
      <c r="I19" s="64"/>
      <c r="J19" s="64"/>
      <c r="K19" s="64"/>
      <c r="L19" s="64"/>
      <c r="M19" s="84"/>
      <c r="N19" s="84"/>
      <c r="O19" s="85"/>
      <c r="P19" s="5"/>
      <c r="R19" s="4"/>
      <c r="S19" s="89"/>
      <c r="T19" s="64"/>
      <c r="U19" s="64"/>
      <c r="V19" s="217"/>
      <c r="W19" s="5"/>
    </row>
    <row r="20" spans="2:23" x14ac:dyDescent="0.2">
      <c r="B20" s="4"/>
      <c r="C20" s="34" t="str">
        <f t="shared" si="0"/>
        <v/>
      </c>
      <c r="D20" s="79"/>
      <c r="E20" s="64"/>
      <c r="F20" s="64"/>
      <c r="G20" s="24" t="str">
        <f t="shared" si="1"/>
        <v/>
      </c>
      <c r="H20" s="64"/>
      <c r="I20" s="64"/>
      <c r="J20" s="64"/>
      <c r="K20" s="64"/>
      <c r="L20" s="64"/>
      <c r="M20" s="84"/>
      <c r="N20" s="84"/>
      <c r="O20" s="85"/>
      <c r="P20" s="5"/>
      <c r="R20" s="4"/>
      <c r="S20" s="89"/>
      <c r="T20" s="64"/>
      <c r="U20" s="64"/>
      <c r="V20" s="217"/>
      <c r="W20" s="5"/>
    </row>
    <row r="21" spans="2:23" x14ac:dyDescent="0.2">
      <c r="B21" s="4"/>
      <c r="C21" s="34" t="str">
        <f t="shared" si="0"/>
        <v/>
      </c>
      <c r="D21" s="79"/>
      <c r="E21" s="64"/>
      <c r="F21" s="64"/>
      <c r="G21" s="24" t="str">
        <f t="shared" si="1"/>
        <v/>
      </c>
      <c r="H21" s="64"/>
      <c r="I21" s="64"/>
      <c r="J21" s="64"/>
      <c r="K21" s="64"/>
      <c r="L21" s="64"/>
      <c r="M21" s="84"/>
      <c r="N21" s="84"/>
      <c r="O21" s="85"/>
      <c r="P21" s="5"/>
      <c r="R21" s="4"/>
      <c r="S21" s="89"/>
      <c r="T21" s="64"/>
      <c r="U21" s="64"/>
      <c r="V21" s="217"/>
      <c r="W21" s="5"/>
    </row>
    <row r="22" spans="2:23" x14ac:dyDescent="0.2">
      <c r="B22" s="4"/>
      <c r="C22" s="34" t="str">
        <f t="shared" si="0"/>
        <v/>
      </c>
      <c r="D22" s="79"/>
      <c r="E22" s="64"/>
      <c r="F22" s="64"/>
      <c r="G22" s="24" t="str">
        <f t="shared" si="1"/>
        <v/>
      </c>
      <c r="H22" s="64"/>
      <c r="I22" s="64"/>
      <c r="J22" s="64"/>
      <c r="K22" s="64"/>
      <c r="L22" s="64"/>
      <c r="M22" s="84"/>
      <c r="N22" s="84"/>
      <c r="O22" s="85"/>
      <c r="P22" s="5"/>
      <c r="R22" s="4"/>
      <c r="S22" s="89" t="str">
        <f>+IF(T22="","",MAX($S$9:S21)+1)</f>
        <v/>
      </c>
      <c r="T22" s="64"/>
      <c r="U22" s="64"/>
      <c r="V22" s="217"/>
      <c r="W22" s="5"/>
    </row>
    <row r="23" spans="2:23" x14ac:dyDescent="0.2">
      <c r="B23" s="4"/>
      <c r="C23" s="34" t="str">
        <f t="shared" si="0"/>
        <v/>
      </c>
      <c r="D23" s="79"/>
      <c r="E23" s="64"/>
      <c r="F23" s="64"/>
      <c r="G23" s="24" t="str">
        <f t="shared" si="1"/>
        <v/>
      </c>
      <c r="H23" s="64"/>
      <c r="I23" s="64"/>
      <c r="J23" s="64"/>
      <c r="K23" s="64"/>
      <c r="L23" s="64"/>
      <c r="M23" s="84"/>
      <c r="N23" s="84"/>
      <c r="O23" s="85"/>
      <c r="P23" s="5"/>
      <c r="R23" s="4"/>
      <c r="S23" s="89" t="str">
        <f>+IF(T23="","",MAX($S$9:S22)+1)</f>
        <v/>
      </c>
      <c r="T23" s="64"/>
      <c r="U23" s="64"/>
      <c r="V23" s="217"/>
      <c r="W23" s="5"/>
    </row>
    <row r="24" spans="2:23" x14ac:dyDescent="0.2">
      <c r="B24" s="4"/>
      <c r="C24" s="34" t="str">
        <f t="shared" si="0"/>
        <v/>
      </c>
      <c r="D24" s="79"/>
      <c r="E24" s="64"/>
      <c r="F24" s="64"/>
      <c r="G24" s="24" t="str">
        <f t="shared" si="1"/>
        <v/>
      </c>
      <c r="H24" s="64"/>
      <c r="I24" s="64"/>
      <c r="J24" s="64"/>
      <c r="K24" s="64"/>
      <c r="L24" s="64"/>
      <c r="M24" s="84"/>
      <c r="N24" s="84"/>
      <c r="O24" s="85"/>
      <c r="P24" s="5"/>
      <c r="R24" s="4"/>
      <c r="S24" s="89" t="str">
        <f>+IF(T24="","",MAX($S$9:S23)+1)</f>
        <v/>
      </c>
      <c r="T24" s="64"/>
      <c r="U24" s="64"/>
      <c r="V24" s="217"/>
      <c r="W24" s="5"/>
    </row>
    <row r="25" spans="2:23" x14ac:dyDescent="0.2">
      <c r="B25" s="4"/>
      <c r="C25" s="34" t="str">
        <f t="shared" si="0"/>
        <v/>
      </c>
      <c r="D25" s="79"/>
      <c r="E25" s="64"/>
      <c r="F25" s="64"/>
      <c r="G25" s="24" t="str">
        <f t="shared" si="1"/>
        <v/>
      </c>
      <c r="H25" s="64"/>
      <c r="I25" s="64"/>
      <c r="J25" s="64"/>
      <c r="K25" s="64"/>
      <c r="L25" s="64"/>
      <c r="M25" s="84"/>
      <c r="N25" s="84"/>
      <c r="O25" s="85"/>
      <c r="P25" s="5"/>
      <c r="R25" s="4"/>
      <c r="S25" s="89" t="str">
        <f>+IF(T25="","",MAX($S$9:S24)+1)</f>
        <v/>
      </c>
      <c r="T25" s="64"/>
      <c r="U25" s="64"/>
      <c r="V25" s="217"/>
      <c r="W25" s="5"/>
    </row>
    <row r="26" spans="2:23" x14ac:dyDescent="0.2">
      <c r="B26" s="4"/>
      <c r="C26" s="34" t="str">
        <f t="shared" si="0"/>
        <v/>
      </c>
      <c r="D26" s="79"/>
      <c r="E26" s="64"/>
      <c r="F26" s="64"/>
      <c r="G26" s="24" t="str">
        <f t="shared" si="1"/>
        <v/>
      </c>
      <c r="H26" s="64"/>
      <c r="I26" s="64"/>
      <c r="J26" s="64"/>
      <c r="K26" s="64"/>
      <c r="L26" s="64"/>
      <c r="M26" s="84"/>
      <c r="N26" s="84"/>
      <c r="O26" s="85"/>
      <c r="P26" s="5"/>
      <c r="R26" s="4"/>
      <c r="S26" s="89" t="str">
        <f>+IF(T26="","",MAX($S$9:S25)+1)</f>
        <v/>
      </c>
      <c r="T26" s="64"/>
      <c r="U26" s="64"/>
      <c r="V26" s="217"/>
      <c r="W26" s="5"/>
    </row>
    <row r="27" spans="2:23" x14ac:dyDescent="0.2">
      <c r="B27" s="4"/>
      <c r="C27" s="34" t="str">
        <f t="shared" si="0"/>
        <v/>
      </c>
      <c r="D27" s="79"/>
      <c r="E27" s="64"/>
      <c r="F27" s="64"/>
      <c r="G27" s="24" t="str">
        <f t="shared" si="1"/>
        <v/>
      </c>
      <c r="H27" s="64"/>
      <c r="I27" s="64"/>
      <c r="J27" s="64"/>
      <c r="K27" s="64"/>
      <c r="L27" s="64"/>
      <c r="M27" s="84"/>
      <c r="N27" s="84"/>
      <c r="O27" s="85"/>
      <c r="P27" s="5"/>
      <c r="R27" s="4"/>
      <c r="S27" s="89" t="str">
        <f>+IF(T27="","",MAX($S$9:S26)+1)</f>
        <v/>
      </c>
      <c r="T27" s="64"/>
      <c r="U27" s="64"/>
      <c r="V27" s="217"/>
      <c r="W27" s="5"/>
    </row>
    <row r="28" spans="2:23" x14ac:dyDescent="0.2">
      <c r="B28" s="4"/>
      <c r="C28" s="34" t="str">
        <f t="shared" si="0"/>
        <v/>
      </c>
      <c r="D28" s="79"/>
      <c r="E28" s="64"/>
      <c r="F28" s="64"/>
      <c r="G28" s="24" t="str">
        <f t="shared" si="1"/>
        <v/>
      </c>
      <c r="H28" s="64"/>
      <c r="I28" s="64"/>
      <c r="J28" s="64"/>
      <c r="K28" s="64"/>
      <c r="L28" s="64"/>
      <c r="M28" s="84"/>
      <c r="N28" s="84"/>
      <c r="O28" s="85"/>
      <c r="P28" s="5"/>
      <c r="R28" s="4"/>
      <c r="S28" s="89" t="str">
        <f>+IF(T28="","",MAX($S$9:S27)+1)</f>
        <v/>
      </c>
      <c r="T28" s="64"/>
      <c r="U28" s="64"/>
      <c r="V28" s="217"/>
      <c r="W28" s="5"/>
    </row>
    <row r="29" spans="2:23" ht="12.75" customHeight="1" x14ac:dyDescent="0.2">
      <c r="B29" s="4"/>
      <c r="C29" s="34" t="str">
        <f t="shared" si="0"/>
        <v/>
      </c>
      <c r="D29" s="79"/>
      <c r="E29" s="64"/>
      <c r="F29" s="64"/>
      <c r="G29" s="24" t="str">
        <f t="shared" si="1"/>
        <v/>
      </c>
      <c r="H29" s="64"/>
      <c r="I29" s="64"/>
      <c r="J29" s="64"/>
      <c r="K29" s="64"/>
      <c r="L29" s="64"/>
      <c r="M29" s="84"/>
      <c r="N29" s="84"/>
      <c r="O29" s="85"/>
      <c r="P29" s="5"/>
      <c r="R29" s="4"/>
      <c r="S29" s="89" t="str">
        <f>+IF(T29="","",MAX($S$9:S28)+1)</f>
        <v/>
      </c>
      <c r="T29" s="64"/>
      <c r="U29" s="64"/>
      <c r="V29" s="217"/>
      <c r="W29" s="5"/>
    </row>
    <row r="30" spans="2:23" x14ac:dyDescent="0.2">
      <c r="B30" s="4"/>
      <c r="C30" s="34" t="str">
        <f t="shared" si="0"/>
        <v/>
      </c>
      <c r="D30" s="79"/>
      <c r="E30" s="64"/>
      <c r="F30" s="64"/>
      <c r="G30" s="24" t="str">
        <f t="shared" si="1"/>
        <v/>
      </c>
      <c r="H30" s="64"/>
      <c r="I30" s="64"/>
      <c r="J30" s="64"/>
      <c r="K30" s="64"/>
      <c r="L30" s="64"/>
      <c r="M30" s="84"/>
      <c r="N30" s="84"/>
      <c r="O30" s="85"/>
      <c r="P30" s="5"/>
      <c r="R30" s="4"/>
      <c r="S30" s="89" t="str">
        <f>+IF(T30="","",MAX($S$9:S29)+1)</f>
        <v/>
      </c>
      <c r="T30" s="64"/>
      <c r="U30" s="64"/>
      <c r="V30" s="217"/>
      <c r="W30" s="5"/>
    </row>
    <row r="31" spans="2:23" x14ac:dyDescent="0.2">
      <c r="B31" s="4"/>
      <c r="C31" s="34" t="str">
        <f t="shared" si="0"/>
        <v/>
      </c>
      <c r="D31" s="79"/>
      <c r="E31" s="64"/>
      <c r="F31" s="64"/>
      <c r="G31" s="24" t="str">
        <f t="shared" si="1"/>
        <v/>
      </c>
      <c r="H31" s="64"/>
      <c r="I31" s="64"/>
      <c r="J31" s="64"/>
      <c r="K31" s="64"/>
      <c r="L31" s="64"/>
      <c r="M31" s="84"/>
      <c r="N31" s="84"/>
      <c r="O31" s="85"/>
      <c r="P31" s="5"/>
      <c r="R31" s="4"/>
      <c r="S31" s="89" t="str">
        <f>+IF(T31="","",MAX($S$9:S30)+1)</f>
        <v/>
      </c>
      <c r="T31" s="64"/>
      <c r="U31" s="64"/>
      <c r="V31" s="217"/>
      <c r="W31" s="5"/>
    </row>
    <row r="32" spans="2:23" x14ac:dyDescent="0.2">
      <c r="B32" s="4"/>
      <c r="C32" s="34" t="str">
        <f t="shared" si="0"/>
        <v/>
      </c>
      <c r="D32" s="79"/>
      <c r="E32" s="64"/>
      <c r="F32" s="64"/>
      <c r="G32" s="24" t="str">
        <f t="shared" si="1"/>
        <v/>
      </c>
      <c r="H32" s="64"/>
      <c r="I32" s="64"/>
      <c r="J32" s="64"/>
      <c r="K32" s="64"/>
      <c r="L32" s="64"/>
      <c r="M32" s="84"/>
      <c r="N32" s="84"/>
      <c r="O32" s="85"/>
      <c r="P32" s="5"/>
      <c r="R32" s="4"/>
      <c r="S32" s="89" t="str">
        <f>+IF(T32="","",MAX($S$9:S31)+1)</f>
        <v/>
      </c>
      <c r="T32" s="64"/>
      <c r="U32" s="64"/>
      <c r="V32" s="217"/>
      <c r="W32" s="5"/>
    </row>
    <row r="33" spans="2:23" x14ac:dyDescent="0.2">
      <c r="B33" s="4"/>
      <c r="C33" s="34" t="str">
        <f t="shared" si="0"/>
        <v/>
      </c>
      <c r="D33" s="79"/>
      <c r="E33" s="64"/>
      <c r="F33" s="64"/>
      <c r="G33" s="24" t="str">
        <f t="shared" si="1"/>
        <v/>
      </c>
      <c r="H33" s="64"/>
      <c r="I33" s="64"/>
      <c r="J33" s="64"/>
      <c r="K33" s="64"/>
      <c r="L33" s="64"/>
      <c r="M33" s="84"/>
      <c r="N33" s="84"/>
      <c r="O33" s="85"/>
      <c r="P33" s="5"/>
      <c r="R33" s="4"/>
      <c r="S33" s="89" t="str">
        <f>+IF(T33="","",MAX($S$9:S32)+1)</f>
        <v/>
      </c>
      <c r="T33" s="64"/>
      <c r="U33" s="64"/>
      <c r="V33" s="217"/>
      <c r="W33" s="5"/>
    </row>
    <row r="34" spans="2:23" ht="13.5" thickBot="1" x14ac:dyDescent="0.25">
      <c r="B34" s="4"/>
      <c r="C34" s="35" t="str">
        <f t="shared" si="0"/>
        <v/>
      </c>
      <c r="D34" s="80"/>
      <c r="E34" s="81"/>
      <c r="F34" s="81"/>
      <c r="G34" s="25" t="str">
        <f t="shared" si="1"/>
        <v/>
      </c>
      <c r="H34" s="81"/>
      <c r="I34" s="81"/>
      <c r="J34" s="81"/>
      <c r="K34" s="81"/>
      <c r="L34" s="81"/>
      <c r="M34" s="86"/>
      <c r="N34" s="86"/>
      <c r="O34" s="87"/>
      <c r="P34" s="5"/>
      <c r="R34" s="4"/>
      <c r="S34" s="90" t="str">
        <f>+IF(T34="","",MAX($S$9:S33)+1)</f>
        <v/>
      </c>
      <c r="T34" s="81"/>
      <c r="U34" s="81"/>
      <c r="V34" s="218"/>
      <c r="W34" s="5"/>
    </row>
    <row r="35" spans="2:23" ht="13.5" thickBot="1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R35" s="6"/>
      <c r="S35" s="7"/>
      <c r="T35" s="7"/>
      <c r="U35" s="7"/>
      <c r="V35" s="7"/>
      <c r="W35" s="8"/>
    </row>
    <row r="37" spans="2:23" x14ac:dyDescent="0.2">
      <c r="I37" s="245" t="s">
        <v>138</v>
      </c>
      <c r="J37" s="245"/>
      <c r="K37" s="173" t="s">
        <v>139</v>
      </c>
    </row>
    <row r="39" spans="2:23" x14ac:dyDescent="0.2">
      <c r="B39" s="163" t="s">
        <v>402</v>
      </c>
    </row>
    <row r="40" spans="2:23" x14ac:dyDescent="0.2">
      <c r="B40" s="163" t="s">
        <v>118</v>
      </c>
    </row>
    <row r="41" spans="2:23" x14ac:dyDescent="0.2">
      <c r="B41" s="163" t="s">
        <v>110</v>
      </c>
    </row>
  </sheetData>
  <sheetProtection sheet="1" objects="1" scenarios="1"/>
  <mergeCells count="1">
    <mergeCell ref="I37:J37"/>
  </mergeCells>
  <phoneticPr fontId="0" type="noConversion"/>
  <dataValidations count="2">
    <dataValidation type="whole" allowBlank="1" showErrorMessage="1" errorTitle="Personalnummer eingeben" error="Hier bitte nur ganze Zahlen eingeben." sqref="D13:D34" xr:uid="{00000000-0002-0000-0500-000000000000}">
      <formula1>1</formula1>
      <formula2>100000</formula2>
    </dataValidation>
    <dataValidation type="decimal" allowBlank="1" showInputMessage="1" showErrorMessage="1" errorTitle="MwSt eingeben" error="Hier bitte den MwSt-Satz eingeben." sqref="V9:V34" xr:uid="{00000000-0002-0000-0500-000001000000}">
      <formula1>0</formula1>
      <formula2>0.3</formula2>
    </dataValidation>
  </dataValidations>
  <hyperlinks>
    <hyperlink ref="K37" location="HilfeB3" display="Hilfe?" xr:uid="{00000000-0004-0000-0500-000000000000}"/>
    <hyperlink ref="I37" location="Startseite!Startseite" display="&lt;&lt; Startseite" xr:uid="{00000000-0004-0000-0500-000001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85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61" r:id="rId4" name="Option Button 5">
              <controlPr defaultSize="0" autoFill="0" autoLine="0" autoPict="0">
                <anchor moveWithCells="1">
                  <from>
                    <xdr:col>3</xdr:col>
                    <xdr:colOff>57150</xdr:colOff>
                    <xdr:row>8</xdr:row>
                    <xdr:rowOff>47625</xdr:rowOff>
                  </from>
                  <to>
                    <xdr:col>4</xdr:col>
                    <xdr:colOff>457200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5" name="Option Button 6">
              <controlPr defaultSize="0" autoFill="0" autoLine="0" autoPict="0">
                <anchor moveWithCells="1">
                  <from>
                    <xdr:col>4</xdr:col>
                    <xdr:colOff>542925</xdr:colOff>
                    <xdr:row>8</xdr:row>
                    <xdr:rowOff>47625</xdr:rowOff>
                  </from>
                  <to>
                    <xdr:col>6</xdr:col>
                    <xdr:colOff>238125</xdr:colOff>
                    <xdr:row>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>
    <pageSetUpPr autoPageBreaks="0"/>
  </sheetPr>
  <dimension ref="C2:O237"/>
  <sheetViews>
    <sheetView showGridLines="0" zoomScaleNormal="100" workbookViewId="0">
      <selection activeCell="T23" sqref="T23"/>
    </sheetView>
  </sheetViews>
  <sheetFormatPr baseColWidth="10" defaultColWidth="11.42578125" defaultRowHeight="12.75" x14ac:dyDescent="0.2"/>
  <cols>
    <col min="1" max="1" width="11.42578125" style="3" customWidth="1"/>
    <col min="2" max="2" width="2.42578125" style="3" customWidth="1"/>
    <col min="3" max="4" width="2.7109375" style="3" customWidth="1"/>
    <col min="5" max="5" width="5.140625" style="47" bestFit="1" customWidth="1"/>
    <col min="6" max="6" width="28" style="3" bestFit="1" customWidth="1"/>
    <col min="7" max="7" width="16.140625" style="3" hidden="1" customWidth="1"/>
    <col min="8" max="8" width="10" style="99" hidden="1" customWidth="1"/>
    <col min="9" max="9" width="11" style="99" bestFit="1" customWidth="1"/>
    <col min="10" max="10" width="11.42578125" style="99" bestFit="1" customWidth="1"/>
    <col min="11" max="11" width="12.28515625" style="99" hidden="1" customWidth="1"/>
    <col min="12" max="12" width="5.140625" style="99" hidden="1" customWidth="1"/>
    <col min="13" max="13" width="7.5703125" style="99" bestFit="1" customWidth="1"/>
    <col min="14" max="14" width="1.7109375" style="3" customWidth="1"/>
    <col min="15" max="15" width="0" style="3" hidden="1" customWidth="1"/>
    <col min="16" max="16" width="2.140625" style="3" customWidth="1"/>
    <col min="17" max="16384" width="11.42578125" style="3"/>
  </cols>
  <sheetData>
    <row r="2" spans="3:15" x14ac:dyDescent="0.2">
      <c r="C2" s="139" t="s">
        <v>16</v>
      </c>
      <c r="D2" s="177"/>
      <c r="E2" s="183"/>
      <c r="F2" s="184"/>
      <c r="G2" s="185"/>
      <c r="N2" s="54" t="s">
        <v>104</v>
      </c>
    </row>
    <row r="3" spans="3:15" ht="13.5" thickBot="1" x14ac:dyDescent="0.25">
      <c r="C3" s="100"/>
      <c r="D3" s="101"/>
      <c r="E3" s="102"/>
      <c r="F3" s="101"/>
      <c r="G3" s="101"/>
      <c r="H3" s="103"/>
      <c r="I3" s="103"/>
      <c r="J3" s="103"/>
      <c r="K3" s="103"/>
      <c r="L3" s="103"/>
      <c r="M3" s="103"/>
      <c r="N3" s="104"/>
    </row>
    <row r="4" spans="3:15" ht="16.5" thickBot="1" x14ac:dyDescent="0.3">
      <c r="C4" s="4"/>
      <c r="E4" s="287" t="s">
        <v>407</v>
      </c>
      <c r="F4" s="288"/>
      <c r="G4" s="288"/>
      <c r="H4" s="288"/>
      <c r="I4" s="288"/>
      <c r="J4" s="288"/>
      <c r="K4" s="288"/>
      <c r="L4" s="288"/>
      <c r="M4" s="289"/>
      <c r="N4" s="105"/>
    </row>
    <row r="5" spans="3:15" ht="26.25" thickBot="1" x14ac:dyDescent="0.25">
      <c r="C5" s="4"/>
      <c r="E5" s="190" t="s">
        <v>8</v>
      </c>
      <c r="F5" s="191" t="s">
        <v>9</v>
      </c>
      <c r="G5" s="191" t="s">
        <v>10</v>
      </c>
      <c r="H5" s="192" t="s">
        <v>11</v>
      </c>
      <c r="I5" s="193" t="s">
        <v>154</v>
      </c>
      <c r="J5" s="192" t="s">
        <v>12</v>
      </c>
      <c r="K5" s="193" t="s">
        <v>13</v>
      </c>
      <c r="L5" s="192" t="s">
        <v>14</v>
      </c>
      <c r="M5" s="211" t="s">
        <v>106</v>
      </c>
      <c r="N5" s="105"/>
      <c r="O5" s="106" t="s">
        <v>8</v>
      </c>
    </row>
    <row r="6" spans="3:15" x14ac:dyDescent="0.2">
      <c r="C6" s="4"/>
      <c r="E6" s="229">
        <v>1</v>
      </c>
      <c r="F6" s="230" t="s">
        <v>15</v>
      </c>
      <c r="G6" s="230"/>
      <c r="H6" s="231"/>
      <c r="I6" s="231">
        <v>14</v>
      </c>
      <c r="J6" s="231">
        <v>28</v>
      </c>
      <c r="K6" s="231">
        <v>-6</v>
      </c>
      <c r="L6" s="231">
        <v>0</v>
      </c>
      <c r="M6" s="232">
        <v>20</v>
      </c>
      <c r="N6" s="105"/>
      <c r="O6" s="107">
        <f>+E6</f>
        <v>1</v>
      </c>
    </row>
    <row r="7" spans="3:15" x14ac:dyDescent="0.2">
      <c r="C7" s="4"/>
      <c r="E7" s="233">
        <f>1+E6</f>
        <v>2</v>
      </c>
      <c r="F7" s="64" t="s">
        <v>185</v>
      </c>
      <c r="G7" s="64"/>
      <c r="H7" s="63"/>
      <c r="I7" s="223">
        <v>20</v>
      </c>
      <c r="J7" s="224">
        <v>30</v>
      </c>
      <c r="K7" s="63"/>
      <c r="L7" s="63"/>
      <c r="M7" s="225">
        <v>95</v>
      </c>
      <c r="N7" s="105"/>
      <c r="O7" s="107">
        <f t="shared" ref="O7:O77" si="0">+E7</f>
        <v>2</v>
      </c>
    </row>
    <row r="8" spans="3:15" x14ac:dyDescent="0.2">
      <c r="C8" s="4"/>
      <c r="E8" s="233">
        <f t="shared" ref="E8:E71" si="1">1+E7</f>
        <v>3</v>
      </c>
      <c r="F8" s="64" t="s">
        <v>186</v>
      </c>
      <c r="G8" s="64"/>
      <c r="H8" s="63"/>
      <c r="I8" s="223">
        <v>33</v>
      </c>
      <c r="J8" s="224">
        <v>50</v>
      </c>
      <c r="K8" s="63"/>
      <c r="L8" s="63"/>
      <c r="M8" s="225">
        <v>112</v>
      </c>
      <c r="N8" s="105"/>
      <c r="O8" s="107">
        <f t="shared" si="0"/>
        <v>3</v>
      </c>
    </row>
    <row r="9" spans="3:15" x14ac:dyDescent="0.2">
      <c r="C9" s="4"/>
      <c r="E9" s="233">
        <f t="shared" si="1"/>
        <v>4</v>
      </c>
      <c r="F9" s="64" t="s">
        <v>187</v>
      </c>
      <c r="G9" s="64"/>
      <c r="H9" s="63"/>
      <c r="I9" s="223">
        <v>29</v>
      </c>
      <c r="J9" s="224">
        <v>44</v>
      </c>
      <c r="K9" s="63"/>
      <c r="L9" s="63"/>
      <c r="M9" s="225">
        <v>159</v>
      </c>
      <c r="N9" s="105"/>
      <c r="O9" s="107"/>
    </row>
    <row r="10" spans="3:15" x14ac:dyDescent="0.2">
      <c r="C10" s="4"/>
      <c r="E10" s="233">
        <f t="shared" si="1"/>
        <v>5</v>
      </c>
      <c r="F10" s="64" t="s">
        <v>188</v>
      </c>
      <c r="G10" s="64"/>
      <c r="H10" s="63"/>
      <c r="I10" s="223">
        <v>28</v>
      </c>
      <c r="J10" s="224">
        <v>42</v>
      </c>
      <c r="K10" s="63"/>
      <c r="L10" s="63"/>
      <c r="M10" s="225">
        <v>166</v>
      </c>
      <c r="N10" s="105"/>
      <c r="O10" s="107"/>
    </row>
    <row r="11" spans="3:15" x14ac:dyDescent="0.2">
      <c r="C11" s="4"/>
      <c r="E11" s="233">
        <f t="shared" si="1"/>
        <v>6</v>
      </c>
      <c r="F11" s="64" t="s">
        <v>189</v>
      </c>
      <c r="G11" s="64"/>
      <c r="H11" s="63"/>
      <c r="I11" s="223">
        <v>18</v>
      </c>
      <c r="J11" s="224">
        <v>27</v>
      </c>
      <c r="K11" s="63"/>
      <c r="L11" s="63"/>
      <c r="M11" s="225">
        <v>112</v>
      </c>
      <c r="N11" s="105"/>
      <c r="O11" s="107">
        <f t="shared" si="0"/>
        <v>6</v>
      </c>
    </row>
    <row r="12" spans="3:15" x14ac:dyDescent="0.2">
      <c r="C12" s="4"/>
      <c r="E12" s="233">
        <f t="shared" si="1"/>
        <v>7</v>
      </c>
      <c r="F12" s="64" t="s">
        <v>190</v>
      </c>
      <c r="G12" s="64"/>
      <c r="H12" s="63"/>
      <c r="I12" s="223">
        <v>32</v>
      </c>
      <c r="J12" s="224">
        <v>47</v>
      </c>
      <c r="K12" s="63"/>
      <c r="L12" s="63"/>
      <c r="M12" s="225">
        <v>120</v>
      </c>
      <c r="N12" s="105"/>
      <c r="O12" s="107"/>
    </row>
    <row r="13" spans="3:15" x14ac:dyDescent="0.2">
      <c r="C13" s="4"/>
      <c r="E13" s="233">
        <f t="shared" si="1"/>
        <v>8</v>
      </c>
      <c r="F13" s="64" t="s">
        <v>191</v>
      </c>
      <c r="G13" s="64"/>
      <c r="H13" s="63"/>
      <c r="I13" s="223">
        <v>28</v>
      </c>
      <c r="J13" s="224">
        <v>41</v>
      </c>
      <c r="K13" s="63"/>
      <c r="L13" s="63"/>
      <c r="M13" s="225">
        <v>91</v>
      </c>
      <c r="N13" s="105"/>
      <c r="O13" s="107">
        <f t="shared" si="0"/>
        <v>8</v>
      </c>
    </row>
    <row r="14" spans="3:15" x14ac:dyDescent="0.2">
      <c r="C14" s="4"/>
      <c r="E14" s="233">
        <f t="shared" si="1"/>
        <v>9</v>
      </c>
      <c r="F14" s="64" t="s">
        <v>192</v>
      </c>
      <c r="G14" s="64"/>
      <c r="H14" s="63"/>
      <c r="I14" s="223">
        <v>27</v>
      </c>
      <c r="J14" s="224">
        <v>40</v>
      </c>
      <c r="K14" s="63"/>
      <c r="L14" s="63"/>
      <c r="M14" s="225">
        <v>368</v>
      </c>
      <c r="N14" s="105"/>
      <c r="O14" s="107">
        <f t="shared" si="0"/>
        <v>9</v>
      </c>
    </row>
    <row r="15" spans="3:15" x14ac:dyDescent="0.2">
      <c r="C15" s="4"/>
      <c r="E15" s="233">
        <f t="shared" si="1"/>
        <v>10</v>
      </c>
      <c r="F15" s="64" t="s">
        <v>193</v>
      </c>
      <c r="G15" s="64"/>
      <c r="H15" s="63"/>
      <c r="I15" s="223">
        <v>24</v>
      </c>
      <c r="J15" s="224">
        <v>35</v>
      </c>
      <c r="K15" s="63"/>
      <c r="L15" s="63"/>
      <c r="M15" s="225">
        <v>113</v>
      </c>
      <c r="N15" s="105"/>
      <c r="O15" s="107">
        <f t="shared" si="0"/>
        <v>10</v>
      </c>
    </row>
    <row r="16" spans="3:15" x14ac:dyDescent="0.2">
      <c r="C16" s="4"/>
      <c r="E16" s="233">
        <f t="shared" si="1"/>
        <v>11</v>
      </c>
      <c r="F16" s="64" t="s">
        <v>194</v>
      </c>
      <c r="G16" s="64"/>
      <c r="H16" s="63"/>
      <c r="I16" s="223">
        <v>20</v>
      </c>
      <c r="J16" s="224">
        <v>29</v>
      </c>
      <c r="K16" s="63"/>
      <c r="L16" s="63"/>
      <c r="M16" s="225">
        <v>107</v>
      </c>
      <c r="N16" s="105"/>
      <c r="O16" s="107">
        <f t="shared" si="0"/>
        <v>11</v>
      </c>
    </row>
    <row r="17" spans="3:15" x14ac:dyDescent="0.2">
      <c r="C17" s="4"/>
      <c r="E17" s="233">
        <f t="shared" si="1"/>
        <v>12</v>
      </c>
      <c r="F17" s="64" t="s">
        <v>195</v>
      </c>
      <c r="G17" s="64"/>
      <c r="H17" s="63"/>
      <c r="I17" s="223">
        <v>29</v>
      </c>
      <c r="J17" s="224">
        <v>44</v>
      </c>
      <c r="K17" s="63"/>
      <c r="L17" s="63"/>
      <c r="M17" s="225">
        <v>88</v>
      </c>
      <c r="N17" s="105"/>
      <c r="O17" s="107">
        <f t="shared" si="0"/>
        <v>12</v>
      </c>
    </row>
    <row r="18" spans="3:15" x14ac:dyDescent="0.2">
      <c r="C18" s="4"/>
      <c r="E18" s="233">
        <f t="shared" si="1"/>
        <v>13</v>
      </c>
      <c r="F18" s="64" t="s">
        <v>178</v>
      </c>
      <c r="G18" s="64"/>
      <c r="H18" s="63"/>
      <c r="I18" s="223">
        <v>49</v>
      </c>
      <c r="J18" s="224">
        <v>74</v>
      </c>
      <c r="K18" s="63"/>
      <c r="L18" s="63"/>
      <c r="M18" s="225">
        <v>186</v>
      </c>
      <c r="N18" s="105"/>
      <c r="O18" s="107">
        <f t="shared" si="0"/>
        <v>13</v>
      </c>
    </row>
    <row r="19" spans="3:15" x14ac:dyDescent="0.2">
      <c r="C19" s="4"/>
      <c r="E19" s="233">
        <f t="shared" si="1"/>
        <v>14</v>
      </c>
      <c r="F19" s="64" t="s">
        <v>179</v>
      </c>
      <c r="G19" s="64"/>
      <c r="H19" s="63"/>
      <c r="I19" s="223">
        <v>38</v>
      </c>
      <c r="J19" s="224">
        <v>57</v>
      </c>
      <c r="K19" s="63"/>
      <c r="L19" s="63"/>
      <c r="M19" s="225">
        <v>173</v>
      </c>
      <c r="N19" s="105"/>
      <c r="O19" s="107">
        <f t="shared" si="0"/>
        <v>14</v>
      </c>
    </row>
    <row r="20" spans="3:15" x14ac:dyDescent="0.2">
      <c r="C20" s="4"/>
      <c r="E20" s="233">
        <f t="shared" si="1"/>
        <v>15</v>
      </c>
      <c r="F20" s="64" t="s">
        <v>196</v>
      </c>
      <c r="G20" s="64"/>
      <c r="H20" s="63"/>
      <c r="I20" s="223">
        <v>38</v>
      </c>
      <c r="J20" s="224">
        <v>57</v>
      </c>
      <c r="K20" s="63"/>
      <c r="L20" s="63"/>
      <c r="M20" s="225">
        <v>173</v>
      </c>
      <c r="N20" s="105"/>
      <c r="O20" s="107">
        <f t="shared" si="0"/>
        <v>15</v>
      </c>
    </row>
    <row r="21" spans="3:15" x14ac:dyDescent="0.2">
      <c r="C21" s="4"/>
      <c r="E21" s="233">
        <f t="shared" si="1"/>
        <v>16</v>
      </c>
      <c r="F21" s="64" t="s">
        <v>197</v>
      </c>
      <c r="G21" s="64"/>
      <c r="H21" s="63"/>
      <c r="I21" s="223">
        <v>32</v>
      </c>
      <c r="J21" s="224">
        <v>48</v>
      </c>
      <c r="K21" s="63"/>
      <c r="L21" s="63"/>
      <c r="M21" s="225">
        <v>153</v>
      </c>
      <c r="N21" s="105"/>
      <c r="O21" s="107">
        <f t="shared" si="0"/>
        <v>16</v>
      </c>
    </row>
    <row r="22" spans="3:15" x14ac:dyDescent="0.2">
      <c r="C22" s="4"/>
      <c r="E22" s="233">
        <f t="shared" si="1"/>
        <v>17</v>
      </c>
      <c r="F22" s="64" t="s">
        <v>198</v>
      </c>
      <c r="G22" s="64"/>
      <c r="H22" s="63"/>
      <c r="I22" s="223">
        <v>31</v>
      </c>
      <c r="J22" s="224">
        <v>46</v>
      </c>
      <c r="K22" s="63"/>
      <c r="L22" s="63"/>
      <c r="M22" s="225">
        <v>189</v>
      </c>
      <c r="N22" s="105"/>
      <c r="O22" s="107">
        <f t="shared" si="0"/>
        <v>17</v>
      </c>
    </row>
    <row r="23" spans="3:15" x14ac:dyDescent="0.2">
      <c r="C23" s="4"/>
      <c r="E23" s="233">
        <f t="shared" si="1"/>
        <v>18</v>
      </c>
      <c r="F23" s="64" t="s">
        <v>199</v>
      </c>
      <c r="G23" s="64"/>
      <c r="H23" s="63"/>
      <c r="I23" s="223">
        <v>36</v>
      </c>
      <c r="J23" s="224">
        <v>54</v>
      </c>
      <c r="K23" s="63"/>
      <c r="L23" s="63"/>
      <c r="M23" s="225">
        <v>206</v>
      </c>
      <c r="N23" s="105"/>
      <c r="O23" s="107">
        <f t="shared" si="0"/>
        <v>18</v>
      </c>
    </row>
    <row r="24" spans="3:15" x14ac:dyDescent="0.2">
      <c r="C24" s="4"/>
      <c r="E24" s="233">
        <f t="shared" si="1"/>
        <v>19</v>
      </c>
      <c r="F24" s="64" t="s">
        <v>200</v>
      </c>
      <c r="G24" s="64"/>
      <c r="H24" s="63"/>
      <c r="I24" s="223">
        <v>40</v>
      </c>
      <c r="J24" s="224">
        <v>59</v>
      </c>
      <c r="K24" s="63"/>
      <c r="L24" s="63"/>
      <c r="M24" s="225">
        <v>141</v>
      </c>
      <c r="N24" s="105"/>
      <c r="O24" s="107">
        <f t="shared" si="0"/>
        <v>19</v>
      </c>
    </row>
    <row r="25" spans="3:15" x14ac:dyDescent="0.2">
      <c r="C25" s="4"/>
      <c r="E25" s="233">
        <f t="shared" si="1"/>
        <v>20</v>
      </c>
      <c r="F25" s="64" t="s">
        <v>201</v>
      </c>
      <c r="G25" s="64"/>
      <c r="H25" s="63"/>
      <c r="I25" s="223">
        <v>27</v>
      </c>
      <c r="J25" s="224">
        <v>40</v>
      </c>
      <c r="K25" s="63"/>
      <c r="L25" s="63"/>
      <c r="M25" s="225">
        <v>168</v>
      </c>
      <c r="N25" s="105"/>
      <c r="O25" s="107">
        <f t="shared" si="0"/>
        <v>20</v>
      </c>
    </row>
    <row r="26" spans="3:15" x14ac:dyDescent="0.2">
      <c r="C26" s="4"/>
      <c r="E26" s="233">
        <f t="shared" si="1"/>
        <v>21</v>
      </c>
      <c r="F26" s="64" t="s">
        <v>202</v>
      </c>
      <c r="G26" s="64"/>
      <c r="H26" s="63"/>
      <c r="I26" s="223">
        <v>18</v>
      </c>
      <c r="J26" s="224">
        <v>27</v>
      </c>
      <c r="K26" s="63"/>
      <c r="L26" s="63"/>
      <c r="M26" s="225">
        <v>176</v>
      </c>
      <c r="N26" s="105"/>
      <c r="O26" s="107">
        <f t="shared" si="0"/>
        <v>21</v>
      </c>
    </row>
    <row r="27" spans="3:15" x14ac:dyDescent="0.2">
      <c r="C27" s="4"/>
      <c r="E27" s="233">
        <f t="shared" si="1"/>
        <v>22</v>
      </c>
      <c r="F27" s="64" t="s">
        <v>203</v>
      </c>
      <c r="G27" s="64"/>
      <c r="H27" s="63"/>
      <c r="I27" s="223">
        <v>31</v>
      </c>
      <c r="J27" s="224">
        <v>46</v>
      </c>
      <c r="K27" s="63"/>
      <c r="L27" s="63"/>
      <c r="M27" s="225">
        <v>108</v>
      </c>
      <c r="N27" s="105"/>
      <c r="O27" s="107">
        <f t="shared" si="0"/>
        <v>22</v>
      </c>
    </row>
    <row r="28" spans="3:15" x14ac:dyDescent="0.2">
      <c r="C28" s="4"/>
      <c r="E28" s="233">
        <f t="shared" si="1"/>
        <v>23</v>
      </c>
      <c r="F28" s="64" t="s">
        <v>204</v>
      </c>
      <c r="G28" s="64"/>
      <c r="H28" s="63"/>
      <c r="I28" s="223">
        <v>16</v>
      </c>
      <c r="J28" s="224">
        <v>23</v>
      </c>
      <c r="K28" s="63"/>
      <c r="L28" s="63"/>
      <c r="M28" s="225">
        <v>75</v>
      </c>
      <c r="N28" s="105"/>
      <c r="O28" s="107">
        <f t="shared" si="0"/>
        <v>23</v>
      </c>
    </row>
    <row r="29" spans="3:15" x14ac:dyDescent="0.2">
      <c r="C29" s="4"/>
      <c r="E29" s="233">
        <f t="shared" si="1"/>
        <v>24</v>
      </c>
      <c r="F29" s="64" t="s">
        <v>205</v>
      </c>
      <c r="G29" s="64"/>
      <c r="H29" s="63"/>
      <c r="I29" s="223">
        <v>31</v>
      </c>
      <c r="J29" s="224">
        <v>46</v>
      </c>
      <c r="K29" s="63"/>
      <c r="L29" s="63"/>
      <c r="M29" s="225">
        <v>176</v>
      </c>
      <c r="N29" s="105"/>
      <c r="O29" s="107">
        <f t="shared" si="0"/>
        <v>24</v>
      </c>
    </row>
    <row r="30" spans="3:15" x14ac:dyDescent="0.2">
      <c r="C30" s="4"/>
      <c r="E30" s="233">
        <f t="shared" si="1"/>
        <v>25</v>
      </c>
      <c r="F30" s="64" t="s">
        <v>206</v>
      </c>
      <c r="G30" s="64"/>
      <c r="H30" s="63"/>
      <c r="I30" s="223">
        <v>34</v>
      </c>
      <c r="J30" s="224">
        <v>51</v>
      </c>
      <c r="K30" s="63"/>
      <c r="L30" s="63"/>
      <c r="M30" s="225">
        <v>88</v>
      </c>
      <c r="N30" s="105"/>
      <c r="O30" s="107">
        <f t="shared" si="0"/>
        <v>25</v>
      </c>
    </row>
    <row r="31" spans="3:15" x14ac:dyDescent="0.2">
      <c r="C31" s="4"/>
      <c r="E31" s="233">
        <f t="shared" si="1"/>
        <v>26</v>
      </c>
      <c r="F31" s="64" t="s">
        <v>207</v>
      </c>
      <c r="G31" s="64"/>
      <c r="H31" s="63"/>
      <c r="I31" s="223">
        <v>46</v>
      </c>
      <c r="J31" s="224">
        <v>69</v>
      </c>
      <c r="K31" s="63"/>
      <c r="L31" s="63"/>
      <c r="M31" s="225">
        <v>140</v>
      </c>
      <c r="N31" s="105"/>
      <c r="O31" s="107">
        <f t="shared" si="0"/>
        <v>26</v>
      </c>
    </row>
    <row r="32" spans="3:15" x14ac:dyDescent="0.2">
      <c r="C32" s="4"/>
      <c r="E32" s="233">
        <f t="shared" si="1"/>
        <v>27</v>
      </c>
      <c r="F32" s="64" t="s">
        <v>208</v>
      </c>
      <c r="G32" s="64"/>
      <c r="H32" s="63"/>
      <c r="I32" s="223">
        <v>31</v>
      </c>
      <c r="J32" s="224">
        <v>46</v>
      </c>
      <c r="K32" s="63"/>
      <c r="L32" s="63"/>
      <c r="M32" s="225">
        <v>151</v>
      </c>
      <c r="N32" s="105"/>
      <c r="O32" s="107">
        <f t="shared" si="0"/>
        <v>27</v>
      </c>
    </row>
    <row r="33" spans="3:15" x14ac:dyDescent="0.2">
      <c r="C33" s="4"/>
      <c r="E33" s="233">
        <f t="shared" si="1"/>
        <v>28</v>
      </c>
      <c r="F33" s="64" t="s">
        <v>209</v>
      </c>
      <c r="G33" s="64"/>
      <c r="H33" s="63"/>
      <c r="I33" s="223">
        <v>31</v>
      </c>
      <c r="J33" s="224">
        <v>46</v>
      </c>
      <c r="K33" s="63"/>
      <c r="L33" s="63"/>
      <c r="M33" s="225">
        <v>88</v>
      </c>
      <c r="N33" s="105"/>
      <c r="O33" s="107">
        <f t="shared" si="0"/>
        <v>28</v>
      </c>
    </row>
    <row r="34" spans="3:15" x14ac:dyDescent="0.2">
      <c r="C34" s="4"/>
      <c r="E34" s="233">
        <f t="shared" si="1"/>
        <v>29</v>
      </c>
      <c r="F34" s="64" t="s">
        <v>210</v>
      </c>
      <c r="G34" s="64"/>
      <c r="H34" s="63"/>
      <c r="I34" s="223">
        <v>30</v>
      </c>
      <c r="J34" s="224">
        <v>45</v>
      </c>
      <c r="K34" s="63"/>
      <c r="L34" s="63"/>
      <c r="M34" s="225">
        <v>110</v>
      </c>
      <c r="N34" s="105"/>
      <c r="O34" s="107">
        <f t="shared" si="0"/>
        <v>29</v>
      </c>
    </row>
    <row r="35" spans="3:15" x14ac:dyDescent="0.2">
      <c r="C35" s="4"/>
      <c r="E35" s="233">
        <f t="shared" si="1"/>
        <v>30</v>
      </c>
      <c r="F35" s="64" t="s">
        <v>211</v>
      </c>
      <c r="G35" s="64"/>
      <c r="H35" s="63"/>
      <c r="I35" s="223">
        <v>15</v>
      </c>
      <c r="J35" s="224">
        <v>22</v>
      </c>
      <c r="K35" s="63"/>
      <c r="L35" s="63"/>
      <c r="M35" s="225">
        <v>115</v>
      </c>
      <c r="N35" s="105"/>
      <c r="O35" s="107">
        <f t="shared" si="0"/>
        <v>30</v>
      </c>
    </row>
    <row r="36" spans="3:15" x14ac:dyDescent="0.2">
      <c r="C36" s="4"/>
      <c r="E36" s="233">
        <f t="shared" si="1"/>
        <v>31</v>
      </c>
      <c r="F36" s="64" t="s">
        <v>212</v>
      </c>
      <c r="G36" s="64"/>
      <c r="H36" s="63"/>
      <c r="I36" s="223">
        <v>25</v>
      </c>
      <c r="J36" s="224">
        <v>38</v>
      </c>
      <c r="K36" s="63"/>
      <c r="L36" s="63"/>
      <c r="M36" s="225">
        <v>174</v>
      </c>
      <c r="N36" s="105"/>
      <c r="O36" s="107">
        <f t="shared" si="0"/>
        <v>31</v>
      </c>
    </row>
    <row r="37" spans="3:15" x14ac:dyDescent="0.2">
      <c r="C37" s="4"/>
      <c r="E37" s="233">
        <f t="shared" si="1"/>
        <v>32</v>
      </c>
      <c r="F37" s="64" t="s">
        <v>213</v>
      </c>
      <c r="G37" s="64"/>
      <c r="H37" s="63"/>
      <c r="I37" s="223">
        <v>24</v>
      </c>
      <c r="J37" s="224">
        <v>36</v>
      </c>
      <c r="K37" s="63"/>
      <c r="L37" s="63"/>
      <c r="M37" s="225">
        <v>138</v>
      </c>
      <c r="N37" s="105"/>
      <c r="O37" s="107">
        <f t="shared" si="0"/>
        <v>32</v>
      </c>
    </row>
    <row r="38" spans="3:15" x14ac:dyDescent="0.2">
      <c r="C38" s="4"/>
      <c r="E38" s="233">
        <f t="shared" si="1"/>
        <v>33</v>
      </c>
      <c r="F38" s="64" t="s">
        <v>214</v>
      </c>
      <c r="G38" s="64"/>
      <c r="H38" s="63"/>
      <c r="I38" s="223">
        <v>29</v>
      </c>
      <c r="J38" s="224">
        <v>44</v>
      </c>
      <c r="K38" s="63"/>
      <c r="L38" s="63"/>
      <c r="M38" s="225">
        <v>154</v>
      </c>
      <c r="N38" s="105"/>
      <c r="O38" s="107">
        <f t="shared" si="0"/>
        <v>33</v>
      </c>
    </row>
    <row r="39" spans="3:15" x14ac:dyDescent="0.2">
      <c r="C39" s="4"/>
      <c r="E39" s="233">
        <f t="shared" si="1"/>
        <v>34</v>
      </c>
      <c r="F39" s="64" t="s">
        <v>215</v>
      </c>
      <c r="G39" s="64"/>
      <c r="H39" s="63"/>
      <c r="I39" s="223">
        <v>28</v>
      </c>
      <c r="J39" s="224">
        <v>41</v>
      </c>
      <c r="K39" s="63"/>
      <c r="L39" s="63"/>
      <c r="M39" s="225">
        <v>131</v>
      </c>
      <c r="N39" s="105"/>
      <c r="O39" s="107">
        <f t="shared" si="0"/>
        <v>34</v>
      </c>
    </row>
    <row r="40" spans="3:15" x14ac:dyDescent="0.2">
      <c r="C40" s="4"/>
      <c r="E40" s="233">
        <f t="shared" si="1"/>
        <v>35</v>
      </c>
      <c r="F40" s="64" t="s">
        <v>216</v>
      </c>
      <c r="G40" s="64"/>
      <c r="H40" s="63"/>
      <c r="I40" s="223">
        <v>48</v>
      </c>
      <c r="J40" s="224">
        <v>71</v>
      </c>
      <c r="K40" s="63"/>
      <c r="L40" s="63"/>
      <c r="M40" s="225">
        <v>169</v>
      </c>
      <c r="N40" s="105"/>
      <c r="O40" s="107">
        <f t="shared" si="0"/>
        <v>35</v>
      </c>
    </row>
    <row r="41" spans="3:15" x14ac:dyDescent="0.2">
      <c r="C41" s="4"/>
      <c r="E41" s="233">
        <f t="shared" si="1"/>
        <v>36</v>
      </c>
      <c r="F41" s="64" t="s">
        <v>217</v>
      </c>
      <c r="G41" s="64"/>
      <c r="H41" s="63"/>
      <c r="I41" s="223">
        <v>24</v>
      </c>
      <c r="J41" s="224">
        <v>36</v>
      </c>
      <c r="K41" s="63"/>
      <c r="L41" s="63"/>
      <c r="M41" s="225">
        <v>150</v>
      </c>
      <c r="N41" s="105"/>
      <c r="O41" s="107">
        <f t="shared" si="0"/>
        <v>36</v>
      </c>
    </row>
    <row r="42" spans="3:15" x14ac:dyDescent="0.2">
      <c r="C42" s="4"/>
      <c r="E42" s="233">
        <f t="shared" si="1"/>
        <v>37</v>
      </c>
      <c r="F42" s="64" t="s">
        <v>218</v>
      </c>
      <c r="G42" s="64"/>
      <c r="H42" s="63"/>
      <c r="I42" s="223">
        <v>20</v>
      </c>
      <c r="J42" s="224">
        <v>30</v>
      </c>
      <c r="K42" s="63"/>
      <c r="L42" s="63"/>
      <c r="M42" s="225">
        <v>185</v>
      </c>
      <c r="N42" s="105"/>
      <c r="O42" s="107">
        <f t="shared" si="0"/>
        <v>37</v>
      </c>
    </row>
    <row r="43" spans="3:15" x14ac:dyDescent="0.2">
      <c r="C43" s="4"/>
      <c r="E43" s="233">
        <f t="shared" si="1"/>
        <v>38</v>
      </c>
      <c r="F43" s="64" t="s">
        <v>219</v>
      </c>
      <c r="G43" s="64"/>
      <c r="H43" s="63"/>
      <c r="I43" s="223">
        <v>39</v>
      </c>
      <c r="J43" s="224">
        <v>58</v>
      </c>
      <c r="K43" s="63"/>
      <c r="L43" s="63"/>
      <c r="M43" s="225">
        <v>217</v>
      </c>
      <c r="N43" s="105"/>
      <c r="O43" s="107">
        <f t="shared" si="0"/>
        <v>38</v>
      </c>
    </row>
    <row r="44" spans="3:15" x14ac:dyDescent="0.2">
      <c r="C44" s="4"/>
      <c r="E44" s="233">
        <f t="shared" si="1"/>
        <v>39</v>
      </c>
      <c r="F44" s="64" t="s">
        <v>220</v>
      </c>
      <c r="G44" s="64"/>
      <c r="H44" s="63"/>
      <c r="I44" s="223">
        <v>32</v>
      </c>
      <c r="J44" s="224">
        <v>48</v>
      </c>
      <c r="K44" s="63"/>
      <c r="L44" s="63"/>
      <c r="M44" s="225">
        <v>112</v>
      </c>
      <c r="N44" s="105"/>
      <c r="O44" s="107">
        <f t="shared" si="0"/>
        <v>39</v>
      </c>
    </row>
    <row r="45" spans="3:15" x14ac:dyDescent="0.2">
      <c r="C45" s="4"/>
      <c r="E45" s="233">
        <f t="shared" si="1"/>
        <v>40</v>
      </c>
      <c r="F45" s="64" t="s">
        <v>221</v>
      </c>
      <c r="G45" s="64"/>
      <c r="H45" s="63"/>
      <c r="I45" s="223">
        <v>40</v>
      </c>
      <c r="J45" s="224">
        <v>60</v>
      </c>
      <c r="K45" s="63"/>
      <c r="L45" s="63"/>
      <c r="M45" s="225">
        <v>127</v>
      </c>
      <c r="N45" s="105"/>
      <c r="O45" s="107">
        <f t="shared" si="0"/>
        <v>40</v>
      </c>
    </row>
    <row r="46" spans="3:15" x14ac:dyDescent="0.2">
      <c r="C46" s="4"/>
      <c r="E46" s="233">
        <f t="shared" si="1"/>
        <v>41</v>
      </c>
      <c r="F46" s="64" t="s">
        <v>222</v>
      </c>
      <c r="G46" s="64"/>
      <c r="H46" s="63"/>
      <c r="I46" s="223">
        <v>40</v>
      </c>
      <c r="J46" s="224">
        <v>59</v>
      </c>
      <c r="K46" s="63"/>
      <c r="L46" s="63"/>
      <c r="M46" s="225">
        <v>166</v>
      </c>
      <c r="N46" s="105"/>
      <c r="O46" s="107">
        <f t="shared" si="0"/>
        <v>41</v>
      </c>
    </row>
    <row r="47" spans="3:15" x14ac:dyDescent="0.2">
      <c r="C47" s="4"/>
      <c r="E47" s="233">
        <f t="shared" si="1"/>
        <v>42</v>
      </c>
      <c r="F47" s="64" t="s">
        <v>223</v>
      </c>
      <c r="G47" s="64"/>
      <c r="H47" s="63"/>
      <c r="I47" s="223">
        <v>50</v>
      </c>
      <c r="J47" s="224">
        <v>75</v>
      </c>
      <c r="K47" s="63"/>
      <c r="L47" s="63"/>
      <c r="M47" s="225">
        <v>183</v>
      </c>
      <c r="N47" s="105"/>
      <c r="O47" s="107">
        <f t="shared" si="0"/>
        <v>42</v>
      </c>
    </row>
    <row r="48" spans="3:15" x14ac:dyDescent="0.2">
      <c r="C48" s="4"/>
      <c r="E48" s="233">
        <f t="shared" si="1"/>
        <v>43</v>
      </c>
      <c r="F48" s="64" t="s">
        <v>224</v>
      </c>
      <c r="G48" s="64"/>
      <c r="H48" s="63"/>
      <c r="I48" s="223">
        <v>33</v>
      </c>
      <c r="J48" s="224">
        <v>50</v>
      </c>
      <c r="K48" s="63"/>
      <c r="L48" s="63"/>
      <c r="M48" s="225">
        <v>167</v>
      </c>
      <c r="N48" s="105"/>
      <c r="O48" s="107">
        <f t="shared" si="0"/>
        <v>43</v>
      </c>
    </row>
    <row r="49" spans="3:15" x14ac:dyDescent="0.2">
      <c r="C49" s="4"/>
      <c r="E49" s="233">
        <f t="shared" si="1"/>
        <v>44</v>
      </c>
      <c r="F49" s="64" t="s">
        <v>225</v>
      </c>
      <c r="G49" s="64"/>
      <c r="H49" s="63"/>
      <c r="I49" s="223">
        <v>52</v>
      </c>
      <c r="J49" s="224">
        <v>77</v>
      </c>
      <c r="K49" s="63"/>
      <c r="L49" s="63"/>
      <c r="M49" s="225">
        <v>255</v>
      </c>
      <c r="N49" s="105"/>
      <c r="O49" s="107">
        <f t="shared" si="0"/>
        <v>44</v>
      </c>
    </row>
    <row r="50" spans="3:15" x14ac:dyDescent="0.2">
      <c r="C50" s="4"/>
      <c r="E50" s="233">
        <f t="shared" si="1"/>
        <v>45</v>
      </c>
      <c r="F50" s="64" t="s">
        <v>226</v>
      </c>
      <c r="G50" s="64"/>
      <c r="H50" s="63"/>
      <c r="I50" s="223">
        <v>18</v>
      </c>
      <c r="J50" s="224">
        <v>27</v>
      </c>
      <c r="K50" s="63"/>
      <c r="L50" s="63"/>
      <c r="M50" s="225">
        <v>103</v>
      </c>
      <c r="N50" s="105"/>
      <c r="O50" s="107"/>
    </row>
    <row r="51" spans="3:15" x14ac:dyDescent="0.2">
      <c r="C51" s="4"/>
      <c r="E51" s="233">
        <f t="shared" si="1"/>
        <v>46</v>
      </c>
      <c r="F51" s="64" t="s">
        <v>227</v>
      </c>
      <c r="G51" s="64"/>
      <c r="H51" s="63"/>
      <c r="I51" s="223">
        <v>44</v>
      </c>
      <c r="J51" s="224">
        <v>65</v>
      </c>
      <c r="K51" s="63"/>
      <c r="L51" s="63"/>
      <c r="M51" s="225">
        <v>161</v>
      </c>
      <c r="N51" s="105"/>
      <c r="O51" s="107">
        <f t="shared" si="0"/>
        <v>46</v>
      </c>
    </row>
    <row r="52" spans="3:15" x14ac:dyDescent="0.2">
      <c r="C52" s="4"/>
      <c r="E52" s="233">
        <f t="shared" si="1"/>
        <v>47</v>
      </c>
      <c r="F52" s="64" t="s">
        <v>228</v>
      </c>
      <c r="G52" s="64"/>
      <c r="H52" s="63"/>
      <c r="I52" s="223">
        <v>31</v>
      </c>
      <c r="J52" s="224">
        <v>46</v>
      </c>
      <c r="K52" s="63"/>
      <c r="L52" s="63"/>
      <c r="M52" s="225">
        <v>78</v>
      </c>
      <c r="N52" s="105"/>
      <c r="O52" s="107">
        <f t="shared" si="0"/>
        <v>47</v>
      </c>
    </row>
    <row r="53" spans="3:15" x14ac:dyDescent="0.2">
      <c r="C53" s="4"/>
      <c r="E53" s="233">
        <f t="shared" si="1"/>
        <v>48</v>
      </c>
      <c r="F53" s="64" t="s">
        <v>229</v>
      </c>
      <c r="G53" s="64"/>
      <c r="H53" s="63"/>
      <c r="I53" s="223">
        <v>20</v>
      </c>
      <c r="J53" s="224">
        <v>29</v>
      </c>
      <c r="K53" s="63"/>
      <c r="L53" s="63"/>
      <c r="M53" s="225">
        <v>85</v>
      </c>
      <c r="N53" s="105"/>
      <c r="O53" s="107">
        <f t="shared" si="0"/>
        <v>48</v>
      </c>
    </row>
    <row r="54" spans="3:15" x14ac:dyDescent="0.2">
      <c r="C54" s="4"/>
      <c r="E54" s="233">
        <f t="shared" si="1"/>
        <v>49</v>
      </c>
      <c r="F54" s="64" t="s">
        <v>230</v>
      </c>
      <c r="G54" s="64"/>
      <c r="H54" s="63"/>
      <c r="I54" s="223">
        <v>21</v>
      </c>
      <c r="J54" s="224">
        <v>32</v>
      </c>
      <c r="K54" s="63"/>
      <c r="L54" s="63"/>
      <c r="M54" s="225">
        <v>183</v>
      </c>
      <c r="N54" s="105"/>
      <c r="O54" s="107">
        <f t="shared" si="0"/>
        <v>49</v>
      </c>
    </row>
    <row r="55" spans="3:15" x14ac:dyDescent="0.2">
      <c r="C55" s="4"/>
      <c r="E55" s="233">
        <f t="shared" si="1"/>
        <v>50</v>
      </c>
      <c r="F55" s="64" t="s">
        <v>231</v>
      </c>
      <c r="G55" s="64"/>
      <c r="H55" s="63"/>
      <c r="I55" s="223">
        <v>36</v>
      </c>
      <c r="J55" s="224">
        <v>54</v>
      </c>
      <c r="K55" s="63"/>
      <c r="L55" s="63"/>
      <c r="M55" s="225">
        <v>171</v>
      </c>
      <c r="N55" s="105"/>
      <c r="O55" s="107">
        <f t="shared" si="0"/>
        <v>50</v>
      </c>
    </row>
    <row r="56" spans="3:15" x14ac:dyDescent="0.2">
      <c r="C56" s="4"/>
      <c r="E56" s="233">
        <f t="shared" si="1"/>
        <v>51</v>
      </c>
      <c r="F56" s="64" t="s">
        <v>232</v>
      </c>
      <c r="G56" s="64"/>
      <c r="H56" s="63"/>
      <c r="I56" s="223">
        <v>39</v>
      </c>
      <c r="J56" s="224">
        <v>58</v>
      </c>
      <c r="K56" s="63"/>
      <c r="L56" s="63"/>
      <c r="M56" s="225">
        <v>159</v>
      </c>
      <c r="N56" s="105"/>
      <c r="O56" s="107">
        <f t="shared" si="0"/>
        <v>51</v>
      </c>
    </row>
    <row r="57" spans="3:15" x14ac:dyDescent="0.2">
      <c r="C57" s="4"/>
      <c r="E57" s="233">
        <f t="shared" si="1"/>
        <v>52</v>
      </c>
      <c r="F57" s="64" t="s">
        <v>233</v>
      </c>
      <c r="G57" s="64"/>
      <c r="H57" s="63"/>
      <c r="I57" s="223">
        <v>36</v>
      </c>
      <c r="J57" s="224">
        <v>53</v>
      </c>
      <c r="K57" s="63"/>
      <c r="L57" s="63"/>
      <c r="M57" s="225">
        <v>105</v>
      </c>
      <c r="N57" s="105"/>
      <c r="O57" s="107">
        <f t="shared" si="0"/>
        <v>52</v>
      </c>
    </row>
    <row r="58" spans="3:15" x14ac:dyDescent="0.2">
      <c r="C58" s="4"/>
      <c r="E58" s="233">
        <f t="shared" si="1"/>
        <v>53</v>
      </c>
      <c r="F58" s="64" t="s">
        <v>234</v>
      </c>
      <c r="G58" s="64"/>
      <c r="H58" s="63"/>
      <c r="I58" s="223">
        <v>43</v>
      </c>
      <c r="J58" s="224">
        <v>64</v>
      </c>
      <c r="K58" s="63"/>
      <c r="L58" s="63"/>
      <c r="M58" s="225">
        <v>263</v>
      </c>
      <c r="N58" s="105"/>
      <c r="O58" s="107">
        <f t="shared" si="0"/>
        <v>53</v>
      </c>
    </row>
    <row r="59" spans="3:15" x14ac:dyDescent="0.2">
      <c r="C59" s="4"/>
      <c r="E59" s="233">
        <f t="shared" si="1"/>
        <v>54</v>
      </c>
      <c r="F59" s="64" t="s">
        <v>235</v>
      </c>
      <c r="G59" s="64"/>
      <c r="H59" s="63"/>
      <c r="I59" s="223">
        <v>27</v>
      </c>
      <c r="J59" s="224">
        <v>40</v>
      </c>
      <c r="K59" s="63"/>
      <c r="L59" s="63"/>
      <c r="M59" s="225">
        <v>161</v>
      </c>
      <c r="N59" s="105"/>
      <c r="O59" s="107">
        <f t="shared" si="0"/>
        <v>54</v>
      </c>
    </row>
    <row r="60" spans="3:15" x14ac:dyDescent="0.2">
      <c r="C60" s="4"/>
      <c r="E60" s="233">
        <f t="shared" si="1"/>
        <v>55</v>
      </c>
      <c r="F60" s="64" t="s">
        <v>236</v>
      </c>
      <c r="G60" s="64"/>
      <c r="H60" s="63"/>
      <c r="I60" s="223">
        <v>30</v>
      </c>
      <c r="J60" s="224">
        <v>45</v>
      </c>
      <c r="K60" s="63"/>
      <c r="L60" s="63"/>
      <c r="M60" s="225">
        <v>87</v>
      </c>
      <c r="N60" s="105"/>
      <c r="O60" s="107"/>
    </row>
    <row r="61" spans="3:15" x14ac:dyDescent="0.2">
      <c r="C61" s="4"/>
      <c r="E61" s="233">
        <f t="shared" si="1"/>
        <v>56</v>
      </c>
      <c r="F61" s="64" t="s">
        <v>237</v>
      </c>
      <c r="G61" s="64"/>
      <c r="H61" s="63"/>
      <c r="I61" s="223">
        <v>31</v>
      </c>
      <c r="J61" s="224">
        <v>46</v>
      </c>
      <c r="K61" s="63"/>
      <c r="L61" s="63"/>
      <c r="M61" s="225">
        <v>203</v>
      </c>
      <c r="N61" s="105"/>
      <c r="O61" s="107"/>
    </row>
    <row r="62" spans="3:15" x14ac:dyDescent="0.2">
      <c r="C62" s="4"/>
      <c r="E62" s="233">
        <f t="shared" si="1"/>
        <v>57</v>
      </c>
      <c r="F62" s="64" t="s">
        <v>238</v>
      </c>
      <c r="G62" s="64"/>
      <c r="H62" s="63"/>
      <c r="I62" s="223">
        <v>27</v>
      </c>
      <c r="J62" s="224">
        <v>40</v>
      </c>
      <c r="K62" s="63"/>
      <c r="L62" s="63"/>
      <c r="M62" s="225">
        <v>139</v>
      </c>
      <c r="N62" s="105"/>
      <c r="O62" s="107"/>
    </row>
    <row r="63" spans="3:15" x14ac:dyDescent="0.2">
      <c r="C63" s="4"/>
      <c r="E63" s="233">
        <f t="shared" si="1"/>
        <v>58</v>
      </c>
      <c r="F63" s="64" t="s">
        <v>239</v>
      </c>
      <c r="G63" s="64"/>
      <c r="H63" s="63"/>
      <c r="I63" s="223">
        <v>24</v>
      </c>
      <c r="J63" s="224">
        <v>36</v>
      </c>
      <c r="K63" s="63"/>
      <c r="L63" s="63"/>
      <c r="M63" s="225">
        <v>150</v>
      </c>
      <c r="N63" s="105"/>
      <c r="O63" s="107"/>
    </row>
    <row r="64" spans="3:15" x14ac:dyDescent="0.2">
      <c r="C64" s="4"/>
      <c r="E64" s="233">
        <f t="shared" si="1"/>
        <v>59</v>
      </c>
      <c r="F64" s="64" t="s">
        <v>240</v>
      </c>
      <c r="G64" s="64"/>
      <c r="H64" s="63"/>
      <c r="I64" s="223">
        <v>31</v>
      </c>
      <c r="J64" s="224">
        <v>46</v>
      </c>
      <c r="K64" s="63"/>
      <c r="L64" s="63"/>
      <c r="M64" s="225">
        <v>124</v>
      </c>
      <c r="N64" s="105"/>
      <c r="O64" s="107">
        <f t="shared" si="0"/>
        <v>59</v>
      </c>
    </row>
    <row r="65" spans="3:15" x14ac:dyDescent="0.2">
      <c r="C65" s="4"/>
      <c r="E65" s="233">
        <f t="shared" si="1"/>
        <v>60</v>
      </c>
      <c r="F65" s="64" t="s">
        <v>241</v>
      </c>
      <c r="G65" s="64"/>
      <c r="H65" s="63"/>
      <c r="I65" s="223">
        <v>40</v>
      </c>
      <c r="J65" s="224">
        <v>59</v>
      </c>
      <c r="K65" s="63"/>
      <c r="L65" s="63"/>
      <c r="M65" s="225">
        <v>140</v>
      </c>
      <c r="N65" s="105"/>
      <c r="O65" s="107">
        <f t="shared" si="0"/>
        <v>60</v>
      </c>
    </row>
    <row r="66" spans="3:15" x14ac:dyDescent="0.2">
      <c r="C66" s="4"/>
      <c r="E66" s="233">
        <f t="shared" si="1"/>
        <v>61</v>
      </c>
      <c r="F66" s="64" t="s">
        <v>242</v>
      </c>
      <c r="G66" s="64"/>
      <c r="H66" s="63"/>
      <c r="I66" s="223">
        <v>21</v>
      </c>
      <c r="J66" s="224">
        <v>32</v>
      </c>
      <c r="K66" s="63"/>
      <c r="L66" s="63"/>
      <c r="M66" s="225">
        <v>113</v>
      </c>
      <c r="N66" s="105"/>
      <c r="O66" s="107"/>
    </row>
    <row r="67" spans="3:15" x14ac:dyDescent="0.2">
      <c r="C67" s="4"/>
      <c r="E67" s="233">
        <f t="shared" si="1"/>
        <v>62</v>
      </c>
      <c r="F67" s="64" t="s">
        <v>243</v>
      </c>
      <c r="G67" s="64"/>
      <c r="H67" s="63"/>
      <c r="I67" s="223">
        <v>39</v>
      </c>
      <c r="J67" s="224">
        <v>58</v>
      </c>
      <c r="K67" s="63"/>
      <c r="L67" s="63"/>
      <c r="M67" s="225">
        <v>130</v>
      </c>
      <c r="N67" s="105"/>
      <c r="O67" s="107">
        <f t="shared" si="0"/>
        <v>62</v>
      </c>
    </row>
    <row r="68" spans="3:15" x14ac:dyDescent="0.2">
      <c r="C68" s="4"/>
      <c r="E68" s="233">
        <f t="shared" si="1"/>
        <v>63</v>
      </c>
      <c r="F68" s="64" t="s">
        <v>244</v>
      </c>
      <c r="G68" s="64"/>
      <c r="H68" s="63"/>
      <c r="I68" s="223">
        <v>38</v>
      </c>
      <c r="J68" s="224">
        <v>57</v>
      </c>
      <c r="K68" s="63"/>
      <c r="L68" s="63"/>
      <c r="M68" s="225">
        <v>198</v>
      </c>
      <c r="N68" s="105"/>
      <c r="O68" s="107">
        <f t="shared" si="0"/>
        <v>63</v>
      </c>
    </row>
    <row r="69" spans="3:15" x14ac:dyDescent="0.2">
      <c r="C69" s="4"/>
      <c r="E69" s="233">
        <f t="shared" si="1"/>
        <v>64</v>
      </c>
      <c r="F69" s="64" t="s">
        <v>245</v>
      </c>
      <c r="G69" s="64"/>
      <c r="H69" s="63"/>
      <c r="I69" s="223">
        <v>28</v>
      </c>
      <c r="J69" s="224">
        <v>42</v>
      </c>
      <c r="K69" s="63"/>
      <c r="L69" s="63"/>
      <c r="M69" s="225">
        <v>155</v>
      </c>
      <c r="N69" s="105"/>
      <c r="O69" s="107">
        <f t="shared" si="0"/>
        <v>64</v>
      </c>
    </row>
    <row r="70" spans="3:15" x14ac:dyDescent="0.2">
      <c r="C70" s="4"/>
      <c r="E70" s="233">
        <f t="shared" si="1"/>
        <v>65</v>
      </c>
      <c r="F70" s="64" t="s">
        <v>246</v>
      </c>
      <c r="G70" s="64"/>
      <c r="H70" s="63"/>
      <c r="I70" s="223">
        <v>15</v>
      </c>
      <c r="J70" s="224">
        <v>22</v>
      </c>
      <c r="K70" s="63"/>
      <c r="L70" s="63"/>
      <c r="M70" s="225">
        <v>80</v>
      </c>
      <c r="N70" s="105"/>
      <c r="O70" s="107">
        <f t="shared" si="0"/>
        <v>65</v>
      </c>
    </row>
    <row r="71" spans="3:15" x14ac:dyDescent="0.2">
      <c r="C71" s="4"/>
      <c r="E71" s="233">
        <f t="shared" si="1"/>
        <v>66</v>
      </c>
      <c r="F71" s="64" t="s">
        <v>247</v>
      </c>
      <c r="G71" s="64"/>
      <c r="H71" s="63"/>
      <c r="I71" s="223">
        <v>21</v>
      </c>
      <c r="J71" s="224">
        <v>32</v>
      </c>
      <c r="K71" s="63"/>
      <c r="L71" s="63"/>
      <c r="M71" s="225">
        <v>167</v>
      </c>
      <c r="N71" s="105"/>
      <c r="O71" s="107">
        <f t="shared" si="0"/>
        <v>66</v>
      </c>
    </row>
    <row r="72" spans="3:15" x14ac:dyDescent="0.2">
      <c r="C72" s="4"/>
      <c r="E72" s="233">
        <f t="shared" ref="E72:E135" si="2">1+E71</f>
        <v>67</v>
      </c>
      <c r="F72" s="64" t="s">
        <v>248</v>
      </c>
      <c r="G72" s="64"/>
      <c r="H72" s="63"/>
      <c r="I72" s="223">
        <v>36</v>
      </c>
      <c r="J72" s="224">
        <v>53</v>
      </c>
      <c r="K72" s="63"/>
      <c r="L72" s="63"/>
      <c r="M72" s="225">
        <v>218</v>
      </c>
      <c r="N72" s="105"/>
      <c r="O72" s="107">
        <f t="shared" si="0"/>
        <v>67</v>
      </c>
    </row>
    <row r="73" spans="3:15" x14ac:dyDescent="0.2">
      <c r="C73" s="4"/>
      <c r="E73" s="233">
        <f t="shared" si="2"/>
        <v>68</v>
      </c>
      <c r="F73" s="64" t="s">
        <v>249</v>
      </c>
      <c r="G73" s="64"/>
      <c r="H73" s="63"/>
      <c r="I73" s="223">
        <v>31</v>
      </c>
      <c r="J73" s="224">
        <v>46</v>
      </c>
      <c r="K73" s="63"/>
      <c r="L73" s="63"/>
      <c r="M73" s="225">
        <v>211</v>
      </c>
      <c r="N73" s="105"/>
      <c r="O73" s="107">
        <f t="shared" si="0"/>
        <v>68</v>
      </c>
    </row>
    <row r="74" spans="3:15" x14ac:dyDescent="0.2">
      <c r="C74" s="4"/>
      <c r="E74" s="233">
        <f t="shared" si="2"/>
        <v>69</v>
      </c>
      <c r="F74" s="64" t="s">
        <v>250</v>
      </c>
      <c r="G74" s="64"/>
      <c r="H74" s="63"/>
      <c r="I74" s="223">
        <v>15</v>
      </c>
      <c r="J74" s="224">
        <v>22</v>
      </c>
      <c r="K74" s="63"/>
      <c r="L74" s="63"/>
      <c r="M74" s="225">
        <v>80</v>
      </c>
      <c r="N74" s="105"/>
      <c r="O74" s="107">
        <f t="shared" si="0"/>
        <v>69</v>
      </c>
    </row>
    <row r="75" spans="3:15" x14ac:dyDescent="0.2">
      <c r="C75" s="4"/>
      <c r="E75" s="233">
        <f t="shared" si="2"/>
        <v>70</v>
      </c>
      <c r="F75" s="64" t="s">
        <v>251</v>
      </c>
      <c r="G75" s="64"/>
      <c r="H75" s="63"/>
      <c r="I75" s="223">
        <v>30</v>
      </c>
      <c r="J75" s="224">
        <v>45</v>
      </c>
      <c r="K75" s="63"/>
      <c r="L75" s="63"/>
      <c r="M75" s="225">
        <v>179</v>
      </c>
      <c r="N75" s="105"/>
      <c r="O75" s="107">
        <f t="shared" si="0"/>
        <v>70</v>
      </c>
    </row>
    <row r="76" spans="3:15" x14ac:dyDescent="0.2">
      <c r="C76" s="4"/>
      <c r="E76" s="233">
        <f t="shared" si="2"/>
        <v>71</v>
      </c>
      <c r="F76" s="64" t="s">
        <v>252</v>
      </c>
      <c r="G76" s="64"/>
      <c r="H76" s="63"/>
      <c r="I76" s="223">
        <v>22</v>
      </c>
      <c r="J76" s="224">
        <v>33</v>
      </c>
      <c r="K76" s="63"/>
      <c r="L76" s="63"/>
      <c r="M76" s="225">
        <v>196</v>
      </c>
      <c r="N76" s="105"/>
      <c r="O76" s="107">
        <f t="shared" si="0"/>
        <v>71</v>
      </c>
    </row>
    <row r="77" spans="3:15" x14ac:dyDescent="0.2">
      <c r="C77" s="4"/>
      <c r="E77" s="233">
        <f t="shared" si="2"/>
        <v>72</v>
      </c>
      <c r="F77" s="64" t="s">
        <v>253</v>
      </c>
      <c r="G77" s="64"/>
      <c r="H77" s="63"/>
      <c r="I77" s="223">
        <v>39</v>
      </c>
      <c r="J77" s="224">
        <v>58</v>
      </c>
      <c r="K77" s="63"/>
      <c r="L77" s="63"/>
      <c r="M77" s="225">
        <v>129</v>
      </c>
      <c r="N77" s="105"/>
      <c r="O77" s="107">
        <f t="shared" si="0"/>
        <v>72</v>
      </c>
    </row>
    <row r="78" spans="3:15" x14ac:dyDescent="0.2">
      <c r="C78" s="4"/>
      <c r="E78" s="233">
        <f t="shared" si="2"/>
        <v>73</v>
      </c>
      <c r="F78" s="64" t="s">
        <v>254</v>
      </c>
      <c r="G78" s="64"/>
      <c r="H78" s="63"/>
      <c r="I78" s="223">
        <v>41</v>
      </c>
      <c r="J78" s="224">
        <v>62</v>
      </c>
      <c r="K78" s="63"/>
      <c r="L78" s="63"/>
      <c r="M78" s="225">
        <v>187</v>
      </c>
      <c r="N78" s="105"/>
      <c r="O78" s="107">
        <f t="shared" ref="O78:O147" si="3">+E78</f>
        <v>73</v>
      </c>
    </row>
    <row r="79" spans="3:15" x14ac:dyDescent="0.2">
      <c r="C79" s="4"/>
      <c r="E79" s="233">
        <f t="shared" si="2"/>
        <v>74</v>
      </c>
      <c r="F79" s="64" t="s">
        <v>255</v>
      </c>
      <c r="G79" s="64"/>
      <c r="H79" s="63"/>
      <c r="I79" s="223">
        <v>44</v>
      </c>
      <c r="J79" s="224">
        <v>66</v>
      </c>
      <c r="K79" s="63"/>
      <c r="L79" s="63"/>
      <c r="M79" s="225">
        <v>190</v>
      </c>
      <c r="N79" s="105"/>
      <c r="O79" s="107">
        <f t="shared" si="3"/>
        <v>74</v>
      </c>
    </row>
    <row r="80" spans="3:15" x14ac:dyDescent="0.2">
      <c r="C80" s="4"/>
      <c r="E80" s="233">
        <f t="shared" si="2"/>
        <v>75</v>
      </c>
      <c r="F80" s="64" t="s">
        <v>256</v>
      </c>
      <c r="G80" s="64"/>
      <c r="H80" s="63"/>
      <c r="I80" s="223">
        <v>28</v>
      </c>
      <c r="J80" s="224">
        <v>42</v>
      </c>
      <c r="K80" s="63"/>
      <c r="L80" s="63"/>
      <c r="M80" s="225">
        <v>191</v>
      </c>
      <c r="N80" s="105"/>
      <c r="O80" s="107">
        <f t="shared" si="3"/>
        <v>75</v>
      </c>
    </row>
    <row r="81" spans="3:15" x14ac:dyDescent="0.2">
      <c r="C81" s="4"/>
      <c r="E81" s="233">
        <f t="shared" si="2"/>
        <v>76</v>
      </c>
      <c r="F81" s="64" t="s">
        <v>180</v>
      </c>
      <c r="G81" s="64"/>
      <c r="H81" s="63"/>
      <c r="I81" s="223">
        <v>32</v>
      </c>
      <c r="J81" s="224">
        <v>48</v>
      </c>
      <c r="K81" s="63"/>
      <c r="L81" s="63"/>
      <c r="M81" s="225">
        <v>150</v>
      </c>
      <c r="N81" s="105"/>
      <c r="O81" s="107">
        <f t="shared" si="3"/>
        <v>76</v>
      </c>
    </row>
    <row r="82" spans="3:15" x14ac:dyDescent="0.2">
      <c r="C82" s="4"/>
      <c r="E82" s="233">
        <f t="shared" si="2"/>
        <v>77</v>
      </c>
      <c r="F82" s="64" t="s">
        <v>257</v>
      </c>
      <c r="G82" s="64"/>
      <c r="H82" s="63"/>
      <c r="I82" s="223">
        <v>28</v>
      </c>
      <c r="J82" s="224">
        <v>42</v>
      </c>
      <c r="K82" s="63"/>
      <c r="L82" s="63"/>
      <c r="M82" s="225">
        <v>150</v>
      </c>
      <c r="N82" s="105"/>
      <c r="O82" s="107">
        <f t="shared" si="3"/>
        <v>77</v>
      </c>
    </row>
    <row r="83" spans="3:15" x14ac:dyDescent="0.2">
      <c r="C83" s="4"/>
      <c r="E83" s="233">
        <f t="shared" si="2"/>
        <v>78</v>
      </c>
      <c r="F83" s="64" t="s">
        <v>258</v>
      </c>
      <c r="G83" s="64"/>
      <c r="H83" s="63"/>
      <c r="I83" s="223">
        <v>26</v>
      </c>
      <c r="J83" s="224">
        <v>39</v>
      </c>
      <c r="K83" s="63"/>
      <c r="L83" s="63"/>
      <c r="M83" s="225">
        <v>171</v>
      </c>
      <c r="N83" s="105"/>
      <c r="O83" s="107">
        <f t="shared" si="3"/>
        <v>78</v>
      </c>
    </row>
    <row r="84" spans="3:15" x14ac:dyDescent="0.2">
      <c r="C84" s="4"/>
      <c r="E84" s="233">
        <f t="shared" si="2"/>
        <v>79</v>
      </c>
      <c r="F84" s="64" t="s">
        <v>259</v>
      </c>
      <c r="G84" s="64"/>
      <c r="H84" s="63"/>
      <c r="I84" s="223">
        <v>33</v>
      </c>
      <c r="J84" s="224">
        <v>50</v>
      </c>
      <c r="K84" s="63"/>
      <c r="L84" s="63"/>
      <c r="M84" s="225">
        <v>285</v>
      </c>
      <c r="N84" s="105"/>
      <c r="O84" s="107">
        <f t="shared" si="3"/>
        <v>79</v>
      </c>
    </row>
    <row r="85" spans="3:15" x14ac:dyDescent="0.2">
      <c r="C85" s="4"/>
      <c r="E85" s="233">
        <f t="shared" si="2"/>
        <v>80</v>
      </c>
      <c r="F85" s="64" t="s">
        <v>260</v>
      </c>
      <c r="G85" s="64"/>
      <c r="H85" s="63"/>
      <c r="I85" s="223">
        <v>22</v>
      </c>
      <c r="J85" s="224">
        <v>33</v>
      </c>
      <c r="K85" s="63"/>
      <c r="L85" s="63"/>
      <c r="M85" s="225">
        <v>141</v>
      </c>
      <c r="N85" s="105"/>
      <c r="O85" s="107">
        <f t="shared" si="3"/>
        <v>80</v>
      </c>
    </row>
    <row r="86" spans="3:15" x14ac:dyDescent="0.2">
      <c r="C86" s="4"/>
      <c r="E86" s="233">
        <f t="shared" si="2"/>
        <v>81</v>
      </c>
      <c r="F86" s="64" t="s">
        <v>261</v>
      </c>
      <c r="G86" s="64"/>
      <c r="H86" s="63"/>
      <c r="I86" s="223">
        <v>22</v>
      </c>
      <c r="J86" s="224">
        <v>33</v>
      </c>
      <c r="K86" s="63"/>
      <c r="L86" s="63"/>
      <c r="M86" s="225">
        <v>141</v>
      </c>
      <c r="N86" s="105"/>
      <c r="O86" s="107">
        <f t="shared" si="3"/>
        <v>81</v>
      </c>
    </row>
    <row r="87" spans="3:15" x14ac:dyDescent="0.2">
      <c r="C87" s="4"/>
      <c r="E87" s="233">
        <f t="shared" si="2"/>
        <v>82</v>
      </c>
      <c r="F87" s="64" t="s">
        <v>262</v>
      </c>
      <c r="G87" s="64"/>
      <c r="H87" s="63"/>
      <c r="I87" s="223">
        <v>16</v>
      </c>
      <c r="J87" s="224">
        <v>24</v>
      </c>
      <c r="K87" s="63"/>
      <c r="L87" s="63"/>
      <c r="M87" s="225">
        <v>95</v>
      </c>
      <c r="N87" s="105"/>
      <c r="O87" s="107">
        <f t="shared" si="3"/>
        <v>82</v>
      </c>
    </row>
    <row r="88" spans="3:15" x14ac:dyDescent="0.2">
      <c r="C88" s="4"/>
      <c r="E88" s="233">
        <f t="shared" si="2"/>
        <v>83</v>
      </c>
      <c r="F88" s="64" t="s">
        <v>263</v>
      </c>
      <c r="G88" s="64"/>
      <c r="H88" s="63"/>
      <c r="I88" s="223">
        <v>38</v>
      </c>
      <c r="J88" s="224">
        <v>57</v>
      </c>
      <c r="K88" s="63"/>
      <c r="L88" s="63"/>
      <c r="M88" s="225">
        <v>134</v>
      </c>
      <c r="N88" s="105"/>
      <c r="O88" s="107">
        <f t="shared" si="3"/>
        <v>83</v>
      </c>
    </row>
    <row r="89" spans="3:15" x14ac:dyDescent="0.2">
      <c r="C89" s="4"/>
      <c r="E89" s="233">
        <f t="shared" si="2"/>
        <v>84</v>
      </c>
      <c r="F89" s="64" t="s">
        <v>264</v>
      </c>
      <c r="G89" s="64"/>
      <c r="H89" s="63"/>
      <c r="I89" s="223">
        <v>28</v>
      </c>
      <c r="J89" s="224">
        <v>42</v>
      </c>
      <c r="K89" s="63"/>
      <c r="L89" s="63"/>
      <c r="M89" s="225">
        <v>108</v>
      </c>
      <c r="N89" s="105"/>
      <c r="O89" s="107">
        <f t="shared" si="3"/>
        <v>84</v>
      </c>
    </row>
    <row r="90" spans="3:15" x14ac:dyDescent="0.2">
      <c r="C90" s="4"/>
      <c r="E90" s="233">
        <f t="shared" si="2"/>
        <v>85</v>
      </c>
      <c r="F90" s="64" t="s">
        <v>265</v>
      </c>
      <c r="G90" s="64"/>
      <c r="H90" s="63"/>
      <c r="I90" s="223">
        <v>37</v>
      </c>
      <c r="J90" s="224">
        <v>56</v>
      </c>
      <c r="K90" s="63"/>
      <c r="L90" s="63"/>
      <c r="M90" s="225">
        <v>275</v>
      </c>
      <c r="N90" s="105"/>
      <c r="O90" s="107">
        <f t="shared" si="3"/>
        <v>85</v>
      </c>
    </row>
    <row r="91" spans="3:15" x14ac:dyDescent="0.2">
      <c r="C91" s="4"/>
      <c r="E91" s="233">
        <f t="shared" si="2"/>
        <v>86</v>
      </c>
      <c r="F91" s="64" t="s">
        <v>181</v>
      </c>
      <c r="G91" s="64"/>
      <c r="H91" s="63"/>
      <c r="I91" s="223">
        <v>41</v>
      </c>
      <c r="J91" s="224">
        <v>62</v>
      </c>
      <c r="K91" s="63"/>
      <c r="L91" s="63"/>
      <c r="M91" s="225">
        <v>214</v>
      </c>
      <c r="N91" s="105"/>
      <c r="O91" s="107">
        <f t="shared" si="3"/>
        <v>86</v>
      </c>
    </row>
    <row r="92" spans="3:15" x14ac:dyDescent="0.2">
      <c r="C92" s="4"/>
      <c r="E92" s="233">
        <f t="shared" si="2"/>
        <v>87</v>
      </c>
      <c r="F92" s="64" t="s">
        <v>266</v>
      </c>
      <c r="G92" s="64"/>
      <c r="H92" s="63"/>
      <c r="I92" s="223">
        <v>36</v>
      </c>
      <c r="J92" s="224">
        <v>54</v>
      </c>
      <c r="K92" s="63"/>
      <c r="L92" s="63"/>
      <c r="M92" s="225">
        <v>392</v>
      </c>
      <c r="N92" s="105"/>
      <c r="O92" s="107">
        <f t="shared" si="3"/>
        <v>87</v>
      </c>
    </row>
    <row r="93" spans="3:15" x14ac:dyDescent="0.2">
      <c r="C93" s="4"/>
      <c r="E93" s="233">
        <f t="shared" si="2"/>
        <v>88</v>
      </c>
      <c r="F93" s="64" t="s">
        <v>267</v>
      </c>
      <c r="G93" s="64"/>
      <c r="H93" s="63"/>
      <c r="I93" s="223">
        <v>42</v>
      </c>
      <c r="J93" s="224">
        <v>63</v>
      </c>
      <c r="K93" s="63"/>
      <c r="L93" s="63"/>
      <c r="M93" s="225">
        <v>304</v>
      </c>
      <c r="N93" s="105"/>
      <c r="O93" s="107">
        <f t="shared" si="3"/>
        <v>88</v>
      </c>
    </row>
    <row r="94" spans="3:15" x14ac:dyDescent="0.2">
      <c r="C94" s="4"/>
      <c r="E94" s="233">
        <f t="shared" si="2"/>
        <v>89</v>
      </c>
      <c r="F94" s="64" t="s">
        <v>268</v>
      </c>
      <c r="G94" s="64"/>
      <c r="H94" s="63"/>
      <c r="I94" s="223">
        <v>36</v>
      </c>
      <c r="J94" s="224">
        <v>54</v>
      </c>
      <c r="K94" s="63"/>
      <c r="L94" s="63"/>
      <c r="M94" s="225">
        <v>214</v>
      </c>
      <c r="N94" s="105"/>
      <c r="O94" s="107">
        <f t="shared" si="3"/>
        <v>89</v>
      </c>
    </row>
    <row r="95" spans="3:15" x14ac:dyDescent="0.2">
      <c r="C95" s="4"/>
      <c r="E95" s="233">
        <f t="shared" si="2"/>
        <v>90</v>
      </c>
      <c r="F95" s="64" t="s">
        <v>269</v>
      </c>
      <c r="G95" s="64"/>
      <c r="H95" s="63"/>
      <c r="I95" s="223">
        <v>25</v>
      </c>
      <c r="J95" s="224">
        <v>38</v>
      </c>
      <c r="K95" s="63"/>
      <c r="L95" s="63"/>
      <c r="M95" s="225">
        <v>90</v>
      </c>
      <c r="N95" s="105"/>
      <c r="O95" s="107">
        <f t="shared" si="3"/>
        <v>90</v>
      </c>
    </row>
    <row r="96" spans="3:15" x14ac:dyDescent="0.2">
      <c r="C96" s="4"/>
      <c r="E96" s="233">
        <f t="shared" si="2"/>
        <v>91</v>
      </c>
      <c r="F96" s="64" t="s">
        <v>270</v>
      </c>
      <c r="G96" s="64"/>
      <c r="H96" s="63"/>
      <c r="I96" s="223">
        <v>22</v>
      </c>
      <c r="J96" s="224">
        <v>33</v>
      </c>
      <c r="K96" s="63"/>
      <c r="L96" s="63"/>
      <c r="M96" s="225">
        <v>108</v>
      </c>
      <c r="N96" s="105"/>
      <c r="O96" s="107">
        <f t="shared" si="3"/>
        <v>91</v>
      </c>
    </row>
    <row r="97" spans="3:15" x14ac:dyDescent="0.2">
      <c r="C97" s="4"/>
      <c r="E97" s="233">
        <f t="shared" si="2"/>
        <v>92</v>
      </c>
      <c r="F97" s="64" t="s">
        <v>271</v>
      </c>
      <c r="G97" s="64"/>
      <c r="H97" s="63"/>
      <c r="I97" s="223">
        <v>37</v>
      </c>
      <c r="J97" s="224">
        <v>56</v>
      </c>
      <c r="K97" s="63"/>
      <c r="L97" s="63"/>
      <c r="M97" s="225">
        <v>149</v>
      </c>
      <c r="N97" s="105"/>
      <c r="O97" s="107">
        <f t="shared" si="3"/>
        <v>92</v>
      </c>
    </row>
    <row r="98" spans="3:15" x14ac:dyDescent="0.2">
      <c r="C98" s="4"/>
      <c r="E98" s="233">
        <f t="shared" si="2"/>
        <v>93</v>
      </c>
      <c r="F98" s="64" t="s">
        <v>272</v>
      </c>
      <c r="G98" s="64"/>
      <c r="H98" s="63"/>
      <c r="I98" s="223">
        <v>34</v>
      </c>
      <c r="J98" s="224">
        <v>51</v>
      </c>
      <c r="K98" s="63"/>
      <c r="L98" s="63"/>
      <c r="M98" s="225">
        <v>219</v>
      </c>
      <c r="N98" s="105"/>
      <c r="O98" s="107">
        <f t="shared" si="3"/>
        <v>93</v>
      </c>
    </row>
    <row r="99" spans="3:15" x14ac:dyDescent="0.2">
      <c r="C99" s="4"/>
      <c r="E99" s="233">
        <f t="shared" si="2"/>
        <v>94</v>
      </c>
      <c r="F99" s="64" t="s">
        <v>273</v>
      </c>
      <c r="G99" s="64"/>
      <c r="H99" s="63"/>
      <c r="I99" s="223">
        <v>18</v>
      </c>
      <c r="J99" s="224">
        <v>27</v>
      </c>
      <c r="K99" s="63"/>
      <c r="L99" s="63"/>
      <c r="M99" s="225">
        <v>74</v>
      </c>
      <c r="N99" s="105"/>
      <c r="O99" s="107"/>
    </row>
    <row r="100" spans="3:15" x14ac:dyDescent="0.2">
      <c r="C100" s="4"/>
      <c r="E100" s="233">
        <f t="shared" si="2"/>
        <v>95</v>
      </c>
      <c r="F100" s="64" t="s">
        <v>274</v>
      </c>
      <c r="G100" s="64"/>
      <c r="H100" s="63"/>
      <c r="I100" s="223">
        <v>23</v>
      </c>
      <c r="J100" s="224">
        <v>34</v>
      </c>
      <c r="K100" s="63"/>
      <c r="L100" s="63"/>
      <c r="M100" s="225">
        <v>123</v>
      </c>
      <c r="N100" s="105"/>
      <c r="O100" s="107">
        <f t="shared" si="3"/>
        <v>95</v>
      </c>
    </row>
    <row r="101" spans="3:15" x14ac:dyDescent="0.2">
      <c r="C101" s="4"/>
      <c r="E101" s="233">
        <f t="shared" si="2"/>
        <v>96</v>
      </c>
      <c r="F101" s="64" t="s">
        <v>275</v>
      </c>
      <c r="G101" s="64"/>
      <c r="H101" s="63"/>
      <c r="I101" s="223">
        <v>41</v>
      </c>
      <c r="J101" s="224">
        <v>62</v>
      </c>
      <c r="K101" s="63"/>
      <c r="L101" s="63"/>
      <c r="M101" s="225">
        <v>215</v>
      </c>
      <c r="N101" s="105"/>
      <c r="O101" s="107">
        <f t="shared" si="3"/>
        <v>96</v>
      </c>
    </row>
    <row r="102" spans="3:15" x14ac:dyDescent="0.2">
      <c r="C102" s="4"/>
      <c r="E102" s="233">
        <f t="shared" si="2"/>
        <v>97</v>
      </c>
      <c r="F102" s="64" t="s">
        <v>276</v>
      </c>
      <c r="G102" s="64"/>
      <c r="H102" s="63"/>
      <c r="I102" s="223">
        <v>44</v>
      </c>
      <c r="J102" s="224">
        <v>65</v>
      </c>
      <c r="K102" s="63"/>
      <c r="L102" s="63"/>
      <c r="M102" s="225">
        <v>337</v>
      </c>
      <c r="N102" s="105"/>
      <c r="O102" s="107">
        <f t="shared" si="3"/>
        <v>97</v>
      </c>
    </row>
    <row r="103" spans="3:15" x14ac:dyDescent="0.2">
      <c r="C103" s="4"/>
      <c r="E103" s="233">
        <f t="shared" si="2"/>
        <v>98</v>
      </c>
      <c r="F103" s="64" t="s">
        <v>277</v>
      </c>
      <c r="G103" s="64"/>
      <c r="H103" s="63"/>
      <c r="I103" s="223">
        <v>19</v>
      </c>
      <c r="J103" s="224">
        <v>28</v>
      </c>
      <c r="K103" s="63"/>
      <c r="L103" s="63"/>
      <c r="M103" s="225">
        <v>92</v>
      </c>
      <c r="N103" s="105"/>
      <c r="O103" s="107">
        <f t="shared" si="3"/>
        <v>98</v>
      </c>
    </row>
    <row r="104" spans="3:15" x14ac:dyDescent="0.2">
      <c r="C104" s="4"/>
      <c r="E104" s="233">
        <f t="shared" si="2"/>
        <v>99</v>
      </c>
      <c r="F104" s="64" t="s">
        <v>278</v>
      </c>
      <c r="G104" s="64"/>
      <c r="H104" s="63"/>
      <c r="I104" s="223">
        <v>32</v>
      </c>
      <c r="J104" s="224">
        <v>48</v>
      </c>
      <c r="K104" s="63"/>
      <c r="L104" s="63"/>
      <c r="M104" s="225">
        <v>108</v>
      </c>
      <c r="N104" s="105"/>
      <c r="O104" s="107">
        <f t="shared" si="3"/>
        <v>99</v>
      </c>
    </row>
    <row r="105" spans="3:15" x14ac:dyDescent="0.2">
      <c r="C105" s="4"/>
      <c r="E105" s="233">
        <f t="shared" si="2"/>
        <v>100</v>
      </c>
      <c r="F105" s="64" t="s">
        <v>279</v>
      </c>
      <c r="G105" s="64"/>
      <c r="H105" s="63"/>
      <c r="I105" s="223">
        <v>16</v>
      </c>
      <c r="J105" s="224">
        <v>24</v>
      </c>
      <c r="K105" s="63"/>
      <c r="L105" s="63"/>
      <c r="M105" s="225">
        <v>71</v>
      </c>
      <c r="N105" s="105"/>
      <c r="O105" s="107">
        <f t="shared" si="3"/>
        <v>100</v>
      </c>
    </row>
    <row r="106" spans="3:15" x14ac:dyDescent="0.2">
      <c r="C106" s="4"/>
      <c r="E106" s="233">
        <f t="shared" si="2"/>
        <v>101</v>
      </c>
      <c r="F106" s="64" t="s">
        <v>280</v>
      </c>
      <c r="G106" s="64"/>
      <c r="H106" s="63"/>
      <c r="I106" s="223">
        <v>31</v>
      </c>
      <c r="J106" s="224">
        <v>46</v>
      </c>
      <c r="K106" s="63"/>
      <c r="L106" s="63"/>
      <c r="M106" s="225">
        <v>191</v>
      </c>
      <c r="N106" s="105"/>
      <c r="O106" s="107">
        <f t="shared" si="3"/>
        <v>101</v>
      </c>
    </row>
    <row r="107" spans="3:15" x14ac:dyDescent="0.2">
      <c r="C107" s="4"/>
      <c r="E107" s="233">
        <f t="shared" si="2"/>
        <v>102</v>
      </c>
      <c r="F107" s="64" t="s">
        <v>281</v>
      </c>
      <c r="G107" s="64"/>
      <c r="H107" s="63"/>
      <c r="I107" s="223">
        <v>34</v>
      </c>
      <c r="J107" s="224">
        <v>51</v>
      </c>
      <c r="K107" s="63"/>
      <c r="L107" s="63"/>
      <c r="M107" s="225">
        <v>170</v>
      </c>
      <c r="N107" s="105"/>
      <c r="O107" s="107">
        <f t="shared" si="3"/>
        <v>102</v>
      </c>
    </row>
    <row r="108" spans="3:15" x14ac:dyDescent="0.2">
      <c r="C108" s="4"/>
      <c r="E108" s="233">
        <f t="shared" si="2"/>
        <v>103</v>
      </c>
      <c r="F108" s="64" t="s">
        <v>282</v>
      </c>
      <c r="G108" s="64"/>
      <c r="H108" s="63"/>
      <c r="I108" s="223">
        <v>37</v>
      </c>
      <c r="J108" s="224">
        <v>56</v>
      </c>
      <c r="K108" s="63"/>
      <c r="L108" s="63"/>
      <c r="M108" s="225">
        <v>241</v>
      </c>
      <c r="N108" s="105"/>
      <c r="O108" s="107">
        <f t="shared" si="3"/>
        <v>103</v>
      </c>
    </row>
    <row r="109" spans="3:15" x14ac:dyDescent="0.2">
      <c r="C109" s="4"/>
      <c r="E109" s="233">
        <f t="shared" si="2"/>
        <v>104</v>
      </c>
      <c r="F109" s="64" t="s">
        <v>283</v>
      </c>
      <c r="G109" s="64"/>
      <c r="H109" s="63"/>
      <c r="I109" s="223">
        <v>24</v>
      </c>
      <c r="J109" s="224">
        <v>35</v>
      </c>
      <c r="K109" s="63"/>
      <c r="L109" s="63"/>
      <c r="M109" s="225">
        <v>71</v>
      </c>
      <c r="N109" s="105"/>
      <c r="O109" s="107"/>
    </row>
    <row r="110" spans="3:15" x14ac:dyDescent="0.2">
      <c r="C110" s="4"/>
      <c r="E110" s="233">
        <f t="shared" si="2"/>
        <v>105</v>
      </c>
      <c r="F110" s="64" t="s">
        <v>284</v>
      </c>
      <c r="G110" s="64"/>
      <c r="H110" s="63"/>
      <c r="I110" s="223">
        <v>19</v>
      </c>
      <c r="J110" s="224">
        <v>28</v>
      </c>
      <c r="K110" s="63"/>
      <c r="L110" s="63"/>
      <c r="M110" s="225">
        <v>104</v>
      </c>
      <c r="N110" s="105"/>
      <c r="O110" s="107">
        <f t="shared" si="3"/>
        <v>105</v>
      </c>
    </row>
    <row r="111" spans="3:15" x14ac:dyDescent="0.2">
      <c r="C111" s="4"/>
      <c r="E111" s="233">
        <f t="shared" si="2"/>
        <v>106</v>
      </c>
      <c r="F111" s="64" t="s">
        <v>285</v>
      </c>
      <c r="G111" s="64"/>
      <c r="H111" s="63"/>
      <c r="I111" s="223">
        <v>24</v>
      </c>
      <c r="J111" s="224">
        <v>35</v>
      </c>
      <c r="K111" s="63"/>
      <c r="L111" s="63"/>
      <c r="M111" s="225">
        <v>76</v>
      </c>
      <c r="N111" s="105"/>
      <c r="O111" s="107">
        <f t="shared" si="3"/>
        <v>106</v>
      </c>
    </row>
    <row r="112" spans="3:15" x14ac:dyDescent="0.2">
      <c r="C112" s="4"/>
      <c r="E112" s="233">
        <f t="shared" si="2"/>
        <v>107</v>
      </c>
      <c r="F112" s="64" t="s">
        <v>286</v>
      </c>
      <c r="G112" s="64"/>
      <c r="H112" s="63"/>
      <c r="I112" s="223">
        <v>42</v>
      </c>
      <c r="J112" s="224">
        <v>63</v>
      </c>
      <c r="K112" s="63"/>
      <c r="L112" s="63"/>
      <c r="M112" s="225">
        <v>135</v>
      </c>
      <c r="N112" s="105"/>
      <c r="O112" s="107">
        <f t="shared" si="3"/>
        <v>107</v>
      </c>
    </row>
    <row r="113" spans="3:15" x14ac:dyDescent="0.2">
      <c r="C113" s="4"/>
      <c r="E113" s="233">
        <f t="shared" si="2"/>
        <v>108</v>
      </c>
      <c r="F113" s="64" t="s">
        <v>287</v>
      </c>
      <c r="G113" s="64"/>
      <c r="H113" s="63"/>
      <c r="I113" s="223">
        <v>46</v>
      </c>
      <c r="J113" s="224">
        <v>69</v>
      </c>
      <c r="K113" s="63"/>
      <c r="L113" s="63"/>
      <c r="M113" s="225">
        <v>146</v>
      </c>
      <c r="N113" s="105"/>
      <c r="O113" s="107"/>
    </row>
    <row r="114" spans="3:15" x14ac:dyDescent="0.2">
      <c r="C114" s="4"/>
      <c r="E114" s="233">
        <f t="shared" si="2"/>
        <v>109</v>
      </c>
      <c r="F114" s="64" t="s">
        <v>288</v>
      </c>
      <c r="G114" s="64"/>
      <c r="H114" s="63"/>
      <c r="I114" s="223">
        <v>44</v>
      </c>
      <c r="J114" s="224">
        <v>65</v>
      </c>
      <c r="K114" s="63"/>
      <c r="L114" s="63"/>
      <c r="M114" s="225">
        <v>173</v>
      </c>
      <c r="N114" s="105"/>
      <c r="O114" s="107">
        <f t="shared" si="3"/>
        <v>109</v>
      </c>
    </row>
    <row r="115" spans="3:15" x14ac:dyDescent="0.2">
      <c r="C115" s="4"/>
      <c r="E115" s="233">
        <f t="shared" si="2"/>
        <v>110</v>
      </c>
      <c r="F115" s="64" t="s">
        <v>289</v>
      </c>
      <c r="G115" s="64"/>
      <c r="H115" s="63"/>
      <c r="I115" s="223">
        <v>37</v>
      </c>
      <c r="J115" s="224">
        <v>56</v>
      </c>
      <c r="K115" s="63"/>
      <c r="L115" s="63"/>
      <c r="M115" s="225">
        <v>190</v>
      </c>
      <c r="N115" s="105"/>
      <c r="O115" s="107">
        <f t="shared" si="3"/>
        <v>110</v>
      </c>
    </row>
    <row r="116" spans="3:15" x14ac:dyDescent="0.2">
      <c r="C116" s="4"/>
      <c r="E116" s="233">
        <f t="shared" si="2"/>
        <v>111</v>
      </c>
      <c r="F116" s="64" t="s">
        <v>290</v>
      </c>
      <c r="G116" s="64"/>
      <c r="H116" s="63"/>
      <c r="I116" s="223">
        <v>17</v>
      </c>
      <c r="J116" s="224">
        <v>26</v>
      </c>
      <c r="K116" s="63"/>
      <c r="L116" s="63"/>
      <c r="M116" s="225">
        <v>109</v>
      </c>
      <c r="N116" s="105"/>
      <c r="O116" s="107">
        <f t="shared" si="3"/>
        <v>111</v>
      </c>
    </row>
    <row r="117" spans="3:15" x14ac:dyDescent="0.2">
      <c r="C117" s="4"/>
      <c r="E117" s="233">
        <f t="shared" si="2"/>
        <v>112</v>
      </c>
      <c r="F117" s="64" t="s">
        <v>291</v>
      </c>
      <c r="G117" s="64"/>
      <c r="H117" s="63"/>
      <c r="I117" s="223">
        <v>42</v>
      </c>
      <c r="J117" s="224">
        <v>63</v>
      </c>
      <c r="K117" s="63"/>
      <c r="L117" s="63"/>
      <c r="M117" s="225">
        <v>139</v>
      </c>
      <c r="N117" s="105"/>
      <c r="O117" s="107">
        <f t="shared" si="3"/>
        <v>112</v>
      </c>
    </row>
    <row r="118" spans="3:15" x14ac:dyDescent="0.2">
      <c r="C118" s="4"/>
      <c r="E118" s="233">
        <f t="shared" si="2"/>
        <v>113</v>
      </c>
      <c r="F118" s="64" t="s">
        <v>292</v>
      </c>
      <c r="G118" s="64"/>
      <c r="H118" s="63"/>
      <c r="I118" s="223">
        <v>22</v>
      </c>
      <c r="J118" s="224">
        <v>33</v>
      </c>
      <c r="K118" s="63"/>
      <c r="L118" s="63"/>
      <c r="M118" s="225">
        <v>116</v>
      </c>
      <c r="N118" s="105"/>
      <c r="O118" s="107">
        <f t="shared" si="3"/>
        <v>113</v>
      </c>
    </row>
    <row r="119" spans="3:15" x14ac:dyDescent="0.2">
      <c r="C119" s="4"/>
      <c r="E119" s="233">
        <f t="shared" si="2"/>
        <v>114</v>
      </c>
      <c r="F119" s="64" t="s">
        <v>293</v>
      </c>
      <c r="G119" s="64"/>
      <c r="H119" s="63"/>
      <c r="I119" s="223">
        <v>28</v>
      </c>
      <c r="J119" s="224">
        <v>41</v>
      </c>
      <c r="K119" s="63"/>
      <c r="L119" s="63"/>
      <c r="M119" s="225">
        <v>109</v>
      </c>
      <c r="N119" s="105"/>
      <c r="O119" s="107">
        <f t="shared" si="3"/>
        <v>114</v>
      </c>
    </row>
    <row r="120" spans="3:15" x14ac:dyDescent="0.2">
      <c r="C120" s="4"/>
      <c r="E120" s="233">
        <f t="shared" si="2"/>
        <v>115</v>
      </c>
      <c r="F120" s="64" t="s">
        <v>294</v>
      </c>
      <c r="G120" s="64"/>
      <c r="H120" s="63"/>
      <c r="I120" s="223">
        <v>24</v>
      </c>
      <c r="J120" s="224">
        <v>36</v>
      </c>
      <c r="K120" s="63"/>
      <c r="L120" s="63"/>
      <c r="M120" s="225">
        <v>86</v>
      </c>
      <c r="N120" s="105"/>
      <c r="O120" s="107">
        <f t="shared" si="3"/>
        <v>115</v>
      </c>
    </row>
    <row r="121" spans="3:15" x14ac:dyDescent="0.2">
      <c r="C121" s="4"/>
      <c r="E121" s="233">
        <f t="shared" si="2"/>
        <v>116</v>
      </c>
      <c r="F121" s="64" t="s">
        <v>295</v>
      </c>
      <c r="G121" s="64"/>
      <c r="H121" s="63"/>
      <c r="I121" s="223">
        <v>47</v>
      </c>
      <c r="J121" s="224">
        <v>70</v>
      </c>
      <c r="K121" s="63"/>
      <c r="L121" s="63"/>
      <c r="M121" s="225">
        <v>200</v>
      </c>
      <c r="N121" s="105"/>
      <c r="O121" s="107">
        <f t="shared" si="3"/>
        <v>116</v>
      </c>
    </row>
    <row r="122" spans="3:15" x14ac:dyDescent="0.2">
      <c r="C122" s="4"/>
      <c r="E122" s="233">
        <f t="shared" si="2"/>
        <v>117</v>
      </c>
      <c r="F122" s="64" t="s">
        <v>296</v>
      </c>
      <c r="G122" s="64"/>
      <c r="H122" s="63"/>
      <c r="I122" s="223">
        <v>25</v>
      </c>
      <c r="J122" s="224">
        <v>38</v>
      </c>
      <c r="K122" s="63"/>
      <c r="L122" s="63"/>
      <c r="M122" s="225">
        <v>120</v>
      </c>
      <c r="N122" s="105"/>
      <c r="O122" s="107">
        <f t="shared" si="3"/>
        <v>117</v>
      </c>
    </row>
    <row r="123" spans="3:15" x14ac:dyDescent="0.2">
      <c r="C123" s="4"/>
      <c r="E123" s="233">
        <f t="shared" si="2"/>
        <v>118</v>
      </c>
      <c r="F123" s="64" t="s">
        <v>297</v>
      </c>
      <c r="G123" s="64"/>
      <c r="H123" s="63"/>
      <c r="I123" s="223">
        <v>31</v>
      </c>
      <c r="J123" s="224">
        <v>46</v>
      </c>
      <c r="K123" s="63"/>
      <c r="L123" s="63"/>
      <c r="M123" s="225">
        <v>114</v>
      </c>
      <c r="N123" s="105"/>
      <c r="O123" s="107">
        <f t="shared" si="3"/>
        <v>118</v>
      </c>
    </row>
    <row r="124" spans="3:15" x14ac:dyDescent="0.2">
      <c r="C124" s="4"/>
      <c r="E124" s="233">
        <f t="shared" si="2"/>
        <v>119</v>
      </c>
      <c r="F124" s="64" t="s">
        <v>298</v>
      </c>
      <c r="G124" s="64"/>
      <c r="H124" s="63"/>
      <c r="I124" s="223">
        <v>28</v>
      </c>
      <c r="J124" s="224">
        <v>41</v>
      </c>
      <c r="K124" s="63"/>
      <c r="L124" s="63"/>
      <c r="M124" s="225">
        <v>87</v>
      </c>
      <c r="N124" s="105"/>
      <c r="O124" s="107">
        <f t="shared" si="3"/>
        <v>119</v>
      </c>
    </row>
    <row r="125" spans="3:15" x14ac:dyDescent="0.2">
      <c r="C125" s="4"/>
      <c r="E125" s="233">
        <f t="shared" si="2"/>
        <v>120</v>
      </c>
      <c r="F125" s="64" t="s">
        <v>182</v>
      </c>
      <c r="G125" s="64"/>
      <c r="H125" s="63"/>
      <c r="I125" s="223">
        <v>42</v>
      </c>
      <c r="J125" s="224">
        <v>63</v>
      </c>
      <c r="K125" s="63"/>
      <c r="L125" s="63"/>
      <c r="M125" s="225">
        <v>102</v>
      </c>
      <c r="N125" s="105"/>
      <c r="O125" s="107">
        <f t="shared" si="3"/>
        <v>120</v>
      </c>
    </row>
    <row r="126" spans="3:15" x14ac:dyDescent="0.2">
      <c r="C126" s="4"/>
      <c r="E126" s="233">
        <f t="shared" si="2"/>
        <v>121</v>
      </c>
      <c r="F126" s="64" t="s">
        <v>299</v>
      </c>
      <c r="G126" s="64"/>
      <c r="H126" s="63"/>
      <c r="I126" s="223">
        <v>24</v>
      </c>
      <c r="J126" s="224">
        <v>35</v>
      </c>
      <c r="K126" s="63"/>
      <c r="L126" s="63"/>
      <c r="M126" s="225">
        <v>86</v>
      </c>
      <c r="N126" s="105"/>
      <c r="O126" s="107">
        <f t="shared" si="3"/>
        <v>121</v>
      </c>
    </row>
    <row r="127" spans="3:15" x14ac:dyDescent="0.2">
      <c r="C127" s="4"/>
      <c r="E127" s="233">
        <f t="shared" si="2"/>
        <v>122</v>
      </c>
      <c r="F127" s="64" t="s">
        <v>300</v>
      </c>
      <c r="G127" s="64"/>
      <c r="H127" s="63"/>
      <c r="I127" s="223">
        <v>29</v>
      </c>
      <c r="J127" s="224">
        <v>44</v>
      </c>
      <c r="K127" s="63"/>
      <c r="L127" s="63"/>
      <c r="M127" s="225">
        <v>172</v>
      </c>
      <c r="N127" s="105"/>
      <c r="O127" s="107">
        <f t="shared" si="3"/>
        <v>122</v>
      </c>
    </row>
    <row r="128" spans="3:15" x14ac:dyDescent="0.2">
      <c r="C128" s="4"/>
      <c r="E128" s="233">
        <f t="shared" si="2"/>
        <v>123</v>
      </c>
      <c r="F128" s="64" t="s">
        <v>301</v>
      </c>
      <c r="G128" s="64"/>
      <c r="H128" s="63"/>
      <c r="I128" s="223">
        <v>32</v>
      </c>
      <c r="J128" s="224">
        <v>48</v>
      </c>
      <c r="K128" s="63"/>
      <c r="L128" s="63"/>
      <c r="M128" s="225">
        <v>177</v>
      </c>
      <c r="N128" s="105"/>
      <c r="O128" s="107"/>
    </row>
    <row r="129" spans="3:15" x14ac:dyDescent="0.2">
      <c r="C129" s="4"/>
      <c r="E129" s="233">
        <f t="shared" si="2"/>
        <v>124</v>
      </c>
      <c r="F129" s="64" t="s">
        <v>302</v>
      </c>
      <c r="G129" s="64"/>
      <c r="H129" s="63"/>
      <c r="I129" s="223">
        <v>17</v>
      </c>
      <c r="J129" s="224">
        <v>26</v>
      </c>
      <c r="K129" s="63"/>
      <c r="L129" s="63"/>
      <c r="M129" s="225">
        <v>73</v>
      </c>
      <c r="N129" s="105"/>
      <c r="O129" s="107">
        <f t="shared" si="3"/>
        <v>124</v>
      </c>
    </row>
    <row r="130" spans="3:15" x14ac:dyDescent="0.2">
      <c r="C130" s="4"/>
      <c r="E130" s="233">
        <f t="shared" si="2"/>
        <v>125</v>
      </c>
      <c r="F130" s="64" t="s">
        <v>303</v>
      </c>
      <c r="G130" s="64"/>
      <c r="H130" s="63"/>
      <c r="I130" s="223">
        <v>35</v>
      </c>
      <c r="J130" s="224">
        <v>52</v>
      </c>
      <c r="K130" s="63"/>
      <c r="L130" s="63"/>
      <c r="M130" s="225">
        <v>187</v>
      </c>
      <c r="N130" s="105"/>
      <c r="O130" s="107">
        <f t="shared" si="3"/>
        <v>125</v>
      </c>
    </row>
    <row r="131" spans="3:15" x14ac:dyDescent="0.2">
      <c r="C131" s="4"/>
      <c r="E131" s="233">
        <f t="shared" si="2"/>
        <v>126</v>
      </c>
      <c r="F131" s="64" t="s">
        <v>304</v>
      </c>
      <c r="G131" s="64"/>
      <c r="H131" s="63"/>
      <c r="I131" s="223">
        <v>16</v>
      </c>
      <c r="J131" s="224">
        <v>23</v>
      </c>
      <c r="K131" s="63"/>
      <c r="L131" s="63"/>
      <c r="M131" s="225">
        <v>92</v>
      </c>
      <c r="N131" s="105"/>
      <c r="O131" s="107">
        <f t="shared" si="3"/>
        <v>126</v>
      </c>
    </row>
    <row r="132" spans="3:15" x14ac:dyDescent="0.2">
      <c r="C132" s="4"/>
      <c r="E132" s="233">
        <f t="shared" si="2"/>
        <v>127</v>
      </c>
      <c r="F132" s="64" t="s">
        <v>305</v>
      </c>
      <c r="G132" s="64"/>
      <c r="H132" s="63"/>
      <c r="I132" s="223">
        <v>21</v>
      </c>
      <c r="J132" s="224">
        <v>32</v>
      </c>
      <c r="K132" s="63"/>
      <c r="L132" s="63"/>
      <c r="M132" s="225">
        <v>85</v>
      </c>
      <c r="N132" s="105"/>
      <c r="O132" s="107">
        <f t="shared" si="3"/>
        <v>127</v>
      </c>
    </row>
    <row r="133" spans="3:15" x14ac:dyDescent="0.2">
      <c r="C133" s="4"/>
      <c r="E133" s="233">
        <f t="shared" si="2"/>
        <v>128</v>
      </c>
      <c r="F133" s="64" t="s">
        <v>306</v>
      </c>
      <c r="G133" s="64"/>
      <c r="H133" s="63"/>
      <c r="I133" s="223">
        <v>34</v>
      </c>
      <c r="J133" s="224">
        <v>51</v>
      </c>
      <c r="K133" s="63"/>
      <c r="L133" s="63"/>
      <c r="M133" s="225">
        <v>208</v>
      </c>
      <c r="N133" s="105"/>
      <c r="O133" s="107"/>
    </row>
    <row r="134" spans="3:15" x14ac:dyDescent="0.2">
      <c r="C134" s="4"/>
      <c r="E134" s="233">
        <f t="shared" si="2"/>
        <v>129</v>
      </c>
      <c r="F134" s="64" t="s">
        <v>307</v>
      </c>
      <c r="G134" s="64"/>
      <c r="H134" s="63"/>
      <c r="I134" s="223">
        <v>16</v>
      </c>
      <c r="J134" s="224">
        <v>23</v>
      </c>
      <c r="K134" s="63"/>
      <c r="L134" s="63"/>
      <c r="M134" s="225">
        <v>103</v>
      </c>
      <c r="N134" s="105"/>
      <c r="O134" s="107">
        <f t="shared" si="3"/>
        <v>129</v>
      </c>
    </row>
    <row r="135" spans="3:15" x14ac:dyDescent="0.2">
      <c r="C135" s="4"/>
      <c r="E135" s="233">
        <f t="shared" si="2"/>
        <v>130</v>
      </c>
      <c r="F135" s="64" t="s">
        <v>308</v>
      </c>
      <c r="G135" s="64"/>
      <c r="H135" s="63"/>
      <c r="I135" s="223">
        <v>20</v>
      </c>
      <c r="J135" s="224">
        <v>30</v>
      </c>
      <c r="K135" s="63"/>
      <c r="L135" s="63"/>
      <c r="M135" s="225">
        <v>112</v>
      </c>
      <c r="N135" s="105"/>
      <c r="O135" s="107">
        <f t="shared" si="3"/>
        <v>130</v>
      </c>
    </row>
    <row r="136" spans="3:15" x14ac:dyDescent="0.2">
      <c r="C136" s="4"/>
      <c r="E136" s="233">
        <f t="shared" ref="E136:E199" si="4">1+E135</f>
        <v>131</v>
      </c>
      <c r="F136" s="64" t="s">
        <v>309</v>
      </c>
      <c r="G136" s="64"/>
      <c r="H136" s="63"/>
      <c r="I136" s="223">
        <v>24</v>
      </c>
      <c r="J136" s="224">
        <v>36</v>
      </c>
      <c r="K136" s="63"/>
      <c r="L136" s="63"/>
      <c r="M136" s="225">
        <v>126</v>
      </c>
      <c r="N136" s="105"/>
      <c r="O136" s="107">
        <f t="shared" si="3"/>
        <v>131</v>
      </c>
    </row>
    <row r="137" spans="3:15" x14ac:dyDescent="0.2">
      <c r="C137" s="4"/>
      <c r="E137" s="233">
        <f t="shared" si="4"/>
        <v>132</v>
      </c>
      <c r="F137" s="64" t="s">
        <v>310</v>
      </c>
      <c r="G137" s="64"/>
      <c r="H137" s="63"/>
      <c r="I137" s="223">
        <v>39</v>
      </c>
      <c r="J137" s="224">
        <v>58</v>
      </c>
      <c r="K137" s="63"/>
      <c r="L137" s="63"/>
      <c r="M137" s="225">
        <v>148</v>
      </c>
      <c r="N137" s="105"/>
      <c r="O137" s="107">
        <f t="shared" si="3"/>
        <v>132</v>
      </c>
    </row>
    <row r="138" spans="3:15" x14ac:dyDescent="0.2">
      <c r="C138" s="4"/>
      <c r="E138" s="233">
        <f t="shared" si="4"/>
        <v>133</v>
      </c>
      <c r="F138" s="64" t="s">
        <v>311</v>
      </c>
      <c r="G138" s="64"/>
      <c r="H138" s="63"/>
      <c r="I138" s="223">
        <v>31</v>
      </c>
      <c r="J138" s="224">
        <v>46</v>
      </c>
      <c r="K138" s="63"/>
      <c r="L138" s="63"/>
      <c r="M138" s="225">
        <v>105</v>
      </c>
      <c r="N138" s="105"/>
      <c r="O138" s="107">
        <f t="shared" si="3"/>
        <v>133</v>
      </c>
    </row>
    <row r="139" spans="3:15" x14ac:dyDescent="0.2">
      <c r="C139" s="4"/>
      <c r="E139" s="233">
        <f t="shared" si="4"/>
        <v>134</v>
      </c>
      <c r="F139" s="64" t="s">
        <v>312</v>
      </c>
      <c r="G139" s="64"/>
      <c r="H139" s="63"/>
      <c r="I139" s="223">
        <v>32</v>
      </c>
      <c r="J139" s="224">
        <v>47</v>
      </c>
      <c r="K139" s="63"/>
      <c r="L139" s="63"/>
      <c r="M139" s="225">
        <v>122</v>
      </c>
      <c r="N139" s="105"/>
      <c r="O139" s="107"/>
    </row>
    <row r="140" spans="3:15" x14ac:dyDescent="0.2">
      <c r="C140" s="4"/>
      <c r="E140" s="233">
        <f t="shared" si="4"/>
        <v>135</v>
      </c>
      <c r="F140" s="64" t="s">
        <v>313</v>
      </c>
      <c r="G140" s="64"/>
      <c r="H140" s="63"/>
      <c r="I140" s="223">
        <v>28</v>
      </c>
      <c r="J140" s="224">
        <v>42</v>
      </c>
      <c r="K140" s="63"/>
      <c r="L140" s="63"/>
      <c r="M140" s="225">
        <v>131</v>
      </c>
      <c r="N140" s="105"/>
      <c r="O140" s="107">
        <f t="shared" si="3"/>
        <v>135</v>
      </c>
    </row>
    <row r="141" spans="3:15" x14ac:dyDescent="0.2">
      <c r="C141" s="4"/>
      <c r="E141" s="233">
        <f t="shared" si="4"/>
        <v>136</v>
      </c>
      <c r="F141" s="64" t="s">
        <v>314</v>
      </c>
      <c r="G141" s="64"/>
      <c r="H141" s="63"/>
      <c r="I141" s="223">
        <v>31</v>
      </c>
      <c r="J141" s="224">
        <v>46</v>
      </c>
      <c r="K141" s="63"/>
      <c r="L141" s="63"/>
      <c r="M141" s="225">
        <v>182</v>
      </c>
      <c r="N141" s="105"/>
      <c r="O141" s="107">
        <f t="shared" si="3"/>
        <v>136</v>
      </c>
    </row>
    <row r="142" spans="3:15" x14ac:dyDescent="0.2">
      <c r="C142" s="4"/>
      <c r="E142" s="233">
        <f t="shared" si="4"/>
        <v>137</v>
      </c>
      <c r="F142" s="64" t="s">
        <v>315</v>
      </c>
      <c r="G142" s="64"/>
      <c r="H142" s="63"/>
      <c r="I142" s="223">
        <v>18</v>
      </c>
      <c r="J142" s="224">
        <v>27</v>
      </c>
      <c r="K142" s="63"/>
      <c r="L142" s="63"/>
      <c r="M142" s="225">
        <v>89</v>
      </c>
      <c r="N142" s="105"/>
      <c r="O142" s="107">
        <f t="shared" si="3"/>
        <v>137</v>
      </c>
    </row>
    <row r="143" spans="3:15" x14ac:dyDescent="0.2">
      <c r="C143" s="4"/>
      <c r="E143" s="233">
        <f t="shared" si="4"/>
        <v>138</v>
      </c>
      <c r="F143" s="64" t="s">
        <v>316</v>
      </c>
      <c r="G143" s="64"/>
      <c r="H143" s="63"/>
      <c r="I143" s="223">
        <v>50</v>
      </c>
      <c r="J143" s="224">
        <v>75</v>
      </c>
      <c r="K143" s="63"/>
      <c r="L143" s="63"/>
      <c r="M143" s="225">
        <v>139</v>
      </c>
      <c r="N143" s="105"/>
      <c r="O143" s="107">
        <f t="shared" si="3"/>
        <v>138</v>
      </c>
    </row>
    <row r="144" spans="3:15" x14ac:dyDescent="0.2">
      <c r="C144" s="4"/>
      <c r="E144" s="233">
        <f t="shared" si="4"/>
        <v>139</v>
      </c>
      <c r="F144" s="64" t="s">
        <v>317</v>
      </c>
      <c r="G144" s="64"/>
      <c r="H144" s="63"/>
      <c r="I144" s="223">
        <v>33</v>
      </c>
      <c r="J144" s="224">
        <v>50</v>
      </c>
      <c r="K144" s="63"/>
      <c r="L144" s="63"/>
      <c r="M144" s="225">
        <v>117</v>
      </c>
      <c r="N144" s="105"/>
      <c r="O144" s="107"/>
    </row>
    <row r="145" spans="3:15" x14ac:dyDescent="0.2">
      <c r="C145" s="4"/>
      <c r="E145" s="233">
        <f t="shared" si="4"/>
        <v>140</v>
      </c>
      <c r="F145" s="64" t="s">
        <v>318</v>
      </c>
      <c r="G145" s="64"/>
      <c r="H145" s="63"/>
      <c r="I145" s="223">
        <v>43</v>
      </c>
      <c r="J145" s="224">
        <v>64</v>
      </c>
      <c r="K145" s="63"/>
      <c r="L145" s="63"/>
      <c r="M145" s="225">
        <v>141</v>
      </c>
      <c r="N145" s="105"/>
      <c r="O145" s="107">
        <f t="shared" si="3"/>
        <v>140</v>
      </c>
    </row>
    <row r="146" spans="3:15" x14ac:dyDescent="0.2">
      <c r="C146" s="4"/>
      <c r="E146" s="233">
        <f t="shared" si="4"/>
        <v>141</v>
      </c>
      <c r="F146" s="64" t="s">
        <v>319</v>
      </c>
      <c r="G146" s="64"/>
      <c r="H146" s="63"/>
      <c r="I146" s="223">
        <v>16</v>
      </c>
      <c r="J146" s="224">
        <v>23</v>
      </c>
      <c r="K146" s="63"/>
      <c r="L146" s="63"/>
      <c r="M146" s="225">
        <v>238</v>
      </c>
      <c r="N146" s="105"/>
      <c r="O146" s="107">
        <f t="shared" si="3"/>
        <v>141</v>
      </c>
    </row>
    <row r="147" spans="3:15" x14ac:dyDescent="0.2">
      <c r="C147" s="4"/>
      <c r="E147" s="233">
        <f t="shared" si="4"/>
        <v>142</v>
      </c>
      <c r="F147" s="64" t="s">
        <v>320</v>
      </c>
      <c r="G147" s="64"/>
      <c r="H147" s="63"/>
      <c r="I147" s="223">
        <v>23</v>
      </c>
      <c r="J147" s="224">
        <v>34</v>
      </c>
      <c r="K147" s="63"/>
      <c r="L147" s="63"/>
      <c r="M147" s="225">
        <v>122</v>
      </c>
      <c r="N147" s="105"/>
      <c r="O147" s="107">
        <f t="shared" si="3"/>
        <v>142</v>
      </c>
    </row>
    <row r="148" spans="3:15" x14ac:dyDescent="0.2">
      <c r="C148" s="4"/>
      <c r="E148" s="233">
        <f t="shared" si="4"/>
        <v>143</v>
      </c>
      <c r="F148" s="64" t="s">
        <v>321</v>
      </c>
      <c r="G148" s="64"/>
      <c r="H148" s="63"/>
      <c r="I148" s="223">
        <v>34</v>
      </c>
      <c r="J148" s="224">
        <v>51</v>
      </c>
      <c r="K148" s="63"/>
      <c r="L148" s="63"/>
      <c r="M148" s="225">
        <v>193</v>
      </c>
      <c r="N148" s="105"/>
      <c r="O148" s="107">
        <f t="shared" ref="O148:O176" si="5">+E148</f>
        <v>143</v>
      </c>
    </row>
    <row r="149" spans="3:15" x14ac:dyDescent="0.2">
      <c r="C149" s="4"/>
      <c r="E149" s="233">
        <f t="shared" si="4"/>
        <v>144</v>
      </c>
      <c r="F149" s="64" t="s">
        <v>322</v>
      </c>
      <c r="G149" s="64"/>
      <c r="H149" s="63"/>
      <c r="I149" s="223">
        <v>28</v>
      </c>
      <c r="J149" s="224">
        <v>41</v>
      </c>
      <c r="K149" s="63"/>
      <c r="L149" s="63"/>
      <c r="M149" s="225">
        <v>82</v>
      </c>
      <c r="N149" s="105"/>
      <c r="O149" s="107">
        <f t="shared" si="5"/>
        <v>144</v>
      </c>
    </row>
    <row r="150" spans="3:15" x14ac:dyDescent="0.2">
      <c r="C150" s="4"/>
      <c r="E150" s="233">
        <f t="shared" si="4"/>
        <v>145</v>
      </c>
      <c r="F150" s="64" t="s">
        <v>323</v>
      </c>
      <c r="G150" s="64"/>
      <c r="H150" s="63"/>
      <c r="I150" s="223">
        <v>40</v>
      </c>
      <c r="J150" s="224">
        <v>59</v>
      </c>
      <c r="K150" s="63"/>
      <c r="L150" s="63"/>
      <c r="M150" s="225">
        <v>159</v>
      </c>
      <c r="N150" s="105"/>
      <c r="O150" s="107">
        <f t="shared" si="5"/>
        <v>145</v>
      </c>
    </row>
    <row r="151" spans="3:15" x14ac:dyDescent="0.2">
      <c r="C151" s="4"/>
      <c r="E151" s="233">
        <f t="shared" si="4"/>
        <v>146</v>
      </c>
      <c r="F151" s="64" t="s">
        <v>324</v>
      </c>
      <c r="G151" s="64"/>
      <c r="H151" s="63"/>
      <c r="I151" s="223">
        <v>26</v>
      </c>
      <c r="J151" s="224">
        <v>39</v>
      </c>
      <c r="K151" s="63"/>
      <c r="L151" s="63"/>
      <c r="M151" s="225">
        <v>124</v>
      </c>
      <c r="N151" s="105"/>
      <c r="O151" s="107">
        <f t="shared" si="5"/>
        <v>146</v>
      </c>
    </row>
    <row r="152" spans="3:15" x14ac:dyDescent="0.2">
      <c r="C152" s="4"/>
      <c r="E152" s="233">
        <f t="shared" si="4"/>
        <v>147</v>
      </c>
      <c r="F152" s="64" t="s">
        <v>325</v>
      </c>
      <c r="G152" s="64"/>
      <c r="H152" s="63"/>
      <c r="I152" s="223">
        <v>23</v>
      </c>
      <c r="J152" s="224">
        <v>34</v>
      </c>
      <c r="K152" s="63"/>
      <c r="L152" s="63"/>
      <c r="M152" s="225">
        <v>143</v>
      </c>
      <c r="N152" s="105"/>
      <c r="O152" s="107"/>
    </row>
    <row r="153" spans="3:15" x14ac:dyDescent="0.2">
      <c r="C153" s="4"/>
      <c r="E153" s="233">
        <f t="shared" si="4"/>
        <v>148</v>
      </c>
      <c r="F153" s="64" t="s">
        <v>326</v>
      </c>
      <c r="G153" s="64"/>
      <c r="H153" s="63"/>
      <c r="I153" s="223">
        <v>28</v>
      </c>
      <c r="J153" s="224">
        <v>41</v>
      </c>
      <c r="K153" s="63"/>
      <c r="L153" s="63"/>
      <c r="M153" s="225">
        <v>140</v>
      </c>
      <c r="N153" s="105"/>
      <c r="O153" s="107">
        <f t="shared" si="5"/>
        <v>148</v>
      </c>
    </row>
    <row r="154" spans="3:15" x14ac:dyDescent="0.2">
      <c r="C154" s="4"/>
      <c r="E154" s="233">
        <f t="shared" si="4"/>
        <v>149</v>
      </c>
      <c r="F154" s="64" t="s">
        <v>327</v>
      </c>
      <c r="G154" s="64"/>
      <c r="H154" s="63"/>
      <c r="I154" s="223">
        <v>23</v>
      </c>
      <c r="J154" s="224">
        <v>34</v>
      </c>
      <c r="K154" s="63"/>
      <c r="L154" s="63"/>
      <c r="M154" s="225">
        <v>124</v>
      </c>
      <c r="N154" s="105"/>
      <c r="O154" s="107">
        <f t="shared" si="5"/>
        <v>149</v>
      </c>
    </row>
    <row r="155" spans="3:15" x14ac:dyDescent="0.2">
      <c r="C155" s="4"/>
      <c r="E155" s="233">
        <f t="shared" si="4"/>
        <v>150</v>
      </c>
      <c r="F155" s="64" t="s">
        <v>328</v>
      </c>
      <c r="G155" s="64"/>
      <c r="H155" s="63"/>
      <c r="I155" s="223">
        <v>27</v>
      </c>
      <c r="J155" s="224">
        <v>40</v>
      </c>
      <c r="K155" s="63"/>
      <c r="L155" s="63"/>
      <c r="M155" s="225">
        <v>143</v>
      </c>
      <c r="N155" s="105"/>
      <c r="O155" s="107">
        <f t="shared" si="5"/>
        <v>150</v>
      </c>
    </row>
    <row r="156" spans="3:15" x14ac:dyDescent="0.2">
      <c r="C156" s="4"/>
      <c r="E156" s="233">
        <f t="shared" si="4"/>
        <v>151</v>
      </c>
      <c r="F156" s="64" t="s">
        <v>329</v>
      </c>
      <c r="G156" s="64"/>
      <c r="H156" s="63"/>
      <c r="I156" s="223">
        <v>23</v>
      </c>
      <c r="J156" s="224">
        <v>34</v>
      </c>
      <c r="K156" s="63"/>
      <c r="L156" s="63"/>
      <c r="M156" s="225">
        <v>124</v>
      </c>
      <c r="N156" s="105"/>
      <c r="O156" s="107">
        <f t="shared" si="5"/>
        <v>151</v>
      </c>
    </row>
    <row r="157" spans="3:15" x14ac:dyDescent="0.2">
      <c r="C157" s="4"/>
      <c r="E157" s="233">
        <f t="shared" si="4"/>
        <v>152</v>
      </c>
      <c r="F157" s="64" t="s">
        <v>330</v>
      </c>
      <c r="G157" s="64"/>
      <c r="H157" s="63"/>
      <c r="I157" s="223">
        <v>21</v>
      </c>
      <c r="J157" s="224">
        <v>32</v>
      </c>
      <c r="K157" s="63"/>
      <c r="L157" s="63"/>
      <c r="M157" s="225">
        <v>111</v>
      </c>
      <c r="N157" s="105"/>
      <c r="O157" s="107">
        <f t="shared" si="5"/>
        <v>152</v>
      </c>
    </row>
    <row r="158" spans="3:15" x14ac:dyDescent="0.2">
      <c r="C158" s="4"/>
      <c r="E158" s="233">
        <f t="shared" si="4"/>
        <v>153</v>
      </c>
      <c r="F158" s="64" t="s">
        <v>331</v>
      </c>
      <c r="G158" s="64"/>
      <c r="H158" s="63"/>
      <c r="I158" s="223">
        <v>29</v>
      </c>
      <c r="J158" s="224">
        <v>44</v>
      </c>
      <c r="K158" s="63"/>
      <c r="L158" s="63"/>
      <c r="M158" s="225">
        <v>117</v>
      </c>
      <c r="N158" s="105"/>
      <c r="O158" s="107">
        <f t="shared" si="5"/>
        <v>153</v>
      </c>
    </row>
    <row r="159" spans="3:15" x14ac:dyDescent="0.2">
      <c r="C159" s="4"/>
      <c r="E159" s="233">
        <f t="shared" si="4"/>
        <v>154</v>
      </c>
      <c r="F159" s="64" t="s">
        <v>332</v>
      </c>
      <c r="G159" s="64"/>
      <c r="H159" s="63"/>
      <c r="I159" s="223">
        <v>21</v>
      </c>
      <c r="J159" s="224">
        <v>32</v>
      </c>
      <c r="K159" s="63"/>
      <c r="L159" s="63"/>
      <c r="M159" s="225">
        <v>92</v>
      </c>
      <c r="N159" s="105"/>
      <c r="O159" s="107">
        <f t="shared" si="5"/>
        <v>154</v>
      </c>
    </row>
    <row r="160" spans="3:15" x14ac:dyDescent="0.2">
      <c r="C160" s="4"/>
      <c r="E160" s="233">
        <f t="shared" si="4"/>
        <v>155</v>
      </c>
      <c r="F160" s="64" t="s">
        <v>333</v>
      </c>
      <c r="G160" s="64"/>
      <c r="H160" s="63"/>
      <c r="I160" s="223">
        <v>18</v>
      </c>
      <c r="J160" s="224">
        <v>27</v>
      </c>
      <c r="K160" s="63"/>
      <c r="L160" s="63"/>
      <c r="M160" s="225">
        <v>89</v>
      </c>
      <c r="N160" s="105"/>
      <c r="O160" s="107">
        <f t="shared" si="5"/>
        <v>155</v>
      </c>
    </row>
    <row r="161" spans="3:15" x14ac:dyDescent="0.2">
      <c r="C161" s="4"/>
      <c r="E161" s="233">
        <f t="shared" si="4"/>
        <v>156</v>
      </c>
      <c r="F161" s="64" t="s">
        <v>334</v>
      </c>
      <c r="G161" s="64"/>
      <c r="H161" s="63"/>
      <c r="I161" s="223">
        <v>20</v>
      </c>
      <c r="J161" s="224">
        <v>30</v>
      </c>
      <c r="K161" s="63"/>
      <c r="L161" s="63"/>
      <c r="M161" s="225">
        <v>235</v>
      </c>
      <c r="N161" s="105"/>
      <c r="O161" s="107">
        <f t="shared" si="5"/>
        <v>156</v>
      </c>
    </row>
    <row r="162" spans="3:15" x14ac:dyDescent="0.2">
      <c r="C162" s="4"/>
      <c r="E162" s="233">
        <f t="shared" si="4"/>
        <v>157</v>
      </c>
      <c r="F162" s="64" t="s">
        <v>335</v>
      </c>
      <c r="G162" s="64"/>
      <c r="H162" s="63"/>
      <c r="I162" s="223">
        <v>19</v>
      </c>
      <c r="J162" s="224">
        <v>28</v>
      </c>
      <c r="K162" s="63"/>
      <c r="L162" s="63"/>
      <c r="M162" s="225">
        <v>133</v>
      </c>
      <c r="N162" s="105"/>
      <c r="O162" s="107">
        <f t="shared" si="5"/>
        <v>157</v>
      </c>
    </row>
    <row r="163" spans="3:15" x14ac:dyDescent="0.2">
      <c r="C163" s="4"/>
      <c r="E163" s="233">
        <f t="shared" si="4"/>
        <v>158</v>
      </c>
      <c r="F163" s="64" t="s">
        <v>336</v>
      </c>
      <c r="G163" s="64"/>
      <c r="H163" s="63"/>
      <c r="I163" s="223">
        <v>19</v>
      </c>
      <c r="J163" s="224">
        <v>28</v>
      </c>
      <c r="K163" s="63"/>
      <c r="L163" s="63"/>
      <c r="M163" s="225">
        <v>133</v>
      </c>
      <c r="N163" s="105"/>
      <c r="O163" s="107">
        <f t="shared" si="5"/>
        <v>158</v>
      </c>
    </row>
    <row r="164" spans="3:15" x14ac:dyDescent="0.2">
      <c r="C164" s="4"/>
      <c r="E164" s="233">
        <f t="shared" si="4"/>
        <v>159</v>
      </c>
      <c r="F164" s="64" t="s">
        <v>337</v>
      </c>
      <c r="G164" s="64"/>
      <c r="H164" s="63"/>
      <c r="I164" s="223">
        <v>25</v>
      </c>
      <c r="J164" s="224">
        <v>38</v>
      </c>
      <c r="K164" s="63"/>
      <c r="L164" s="63"/>
      <c r="M164" s="225">
        <v>105</v>
      </c>
      <c r="N164" s="105"/>
      <c r="O164" s="107"/>
    </row>
    <row r="165" spans="3:15" x14ac:dyDescent="0.2">
      <c r="C165" s="4"/>
      <c r="E165" s="233">
        <f t="shared" si="4"/>
        <v>160</v>
      </c>
      <c r="F165" s="64" t="s">
        <v>338</v>
      </c>
      <c r="G165" s="64"/>
      <c r="H165" s="63"/>
      <c r="I165" s="223">
        <v>26</v>
      </c>
      <c r="J165" s="224">
        <v>39</v>
      </c>
      <c r="K165" s="63"/>
      <c r="L165" s="63"/>
      <c r="M165" s="225">
        <v>105</v>
      </c>
      <c r="N165" s="105"/>
      <c r="O165" s="107">
        <f t="shared" si="5"/>
        <v>160</v>
      </c>
    </row>
    <row r="166" spans="3:15" x14ac:dyDescent="0.2">
      <c r="C166" s="4"/>
      <c r="E166" s="233">
        <f t="shared" si="4"/>
        <v>161</v>
      </c>
      <c r="F166" s="64" t="s">
        <v>339</v>
      </c>
      <c r="G166" s="64"/>
      <c r="H166" s="63"/>
      <c r="I166" s="223">
        <v>23</v>
      </c>
      <c r="J166" s="224">
        <v>34</v>
      </c>
      <c r="K166" s="63"/>
      <c r="L166" s="63"/>
      <c r="M166" s="225">
        <v>79</v>
      </c>
      <c r="N166" s="105"/>
      <c r="O166" s="107">
        <f t="shared" si="5"/>
        <v>161</v>
      </c>
    </row>
    <row r="167" spans="3:15" x14ac:dyDescent="0.2">
      <c r="C167" s="4"/>
      <c r="E167" s="233">
        <f t="shared" si="4"/>
        <v>162</v>
      </c>
      <c r="F167" s="64" t="s">
        <v>340</v>
      </c>
      <c r="G167" s="64"/>
      <c r="H167" s="63"/>
      <c r="I167" s="223">
        <v>24</v>
      </c>
      <c r="J167" s="224">
        <v>36</v>
      </c>
      <c r="K167" s="63"/>
      <c r="L167" s="63"/>
      <c r="M167" s="225">
        <v>147</v>
      </c>
      <c r="N167" s="105"/>
      <c r="O167" s="107">
        <f t="shared" si="5"/>
        <v>162</v>
      </c>
    </row>
    <row r="168" spans="3:15" x14ac:dyDescent="0.2">
      <c r="C168" s="4"/>
      <c r="E168" s="233">
        <f t="shared" si="4"/>
        <v>163</v>
      </c>
      <c r="F168" s="64" t="s">
        <v>341</v>
      </c>
      <c r="G168" s="64"/>
      <c r="H168" s="63"/>
      <c r="I168" s="223">
        <v>38</v>
      </c>
      <c r="J168" s="224">
        <v>57</v>
      </c>
      <c r="K168" s="63"/>
      <c r="L168" s="63"/>
      <c r="M168" s="225">
        <v>181</v>
      </c>
      <c r="N168" s="105"/>
      <c r="O168" s="107">
        <f t="shared" si="5"/>
        <v>163</v>
      </c>
    </row>
    <row r="169" spans="3:15" x14ac:dyDescent="0.2">
      <c r="C169" s="4"/>
      <c r="E169" s="233">
        <f t="shared" si="4"/>
        <v>164</v>
      </c>
      <c r="F169" s="64" t="s">
        <v>342</v>
      </c>
      <c r="G169" s="64"/>
      <c r="H169" s="63"/>
      <c r="I169" s="223">
        <v>37</v>
      </c>
      <c r="J169" s="224">
        <v>56</v>
      </c>
      <c r="K169" s="63"/>
      <c r="L169" s="63"/>
      <c r="M169" s="225">
        <v>186</v>
      </c>
      <c r="N169" s="105"/>
      <c r="O169" s="107">
        <f t="shared" si="5"/>
        <v>164</v>
      </c>
    </row>
    <row r="170" spans="3:15" x14ac:dyDescent="0.2">
      <c r="C170" s="4"/>
      <c r="E170" s="233">
        <f t="shared" si="4"/>
        <v>165</v>
      </c>
      <c r="F170" s="64" t="s">
        <v>343</v>
      </c>
      <c r="G170" s="64"/>
      <c r="H170" s="63"/>
      <c r="I170" s="223">
        <v>37</v>
      </c>
      <c r="J170" s="224">
        <v>56</v>
      </c>
      <c r="K170" s="63"/>
      <c r="L170" s="63"/>
      <c r="M170" s="225">
        <v>181</v>
      </c>
      <c r="N170" s="105"/>
      <c r="O170" s="107">
        <f t="shared" si="5"/>
        <v>165</v>
      </c>
    </row>
    <row r="171" spans="3:15" x14ac:dyDescent="0.2">
      <c r="C171" s="4"/>
      <c r="E171" s="233">
        <f t="shared" si="4"/>
        <v>166</v>
      </c>
      <c r="F171" s="64" t="s">
        <v>344</v>
      </c>
      <c r="G171" s="64"/>
      <c r="H171" s="63"/>
      <c r="I171" s="223">
        <v>44</v>
      </c>
      <c r="J171" s="224">
        <v>66</v>
      </c>
      <c r="K171" s="63"/>
      <c r="L171" s="63"/>
      <c r="M171" s="225">
        <v>140</v>
      </c>
      <c r="N171" s="105"/>
      <c r="O171" s="107"/>
    </row>
    <row r="172" spans="3:15" x14ac:dyDescent="0.2">
      <c r="C172" s="4"/>
      <c r="E172" s="233">
        <f t="shared" si="4"/>
        <v>167</v>
      </c>
      <c r="F172" s="64" t="s">
        <v>345</v>
      </c>
      <c r="G172" s="64"/>
      <c r="H172" s="63"/>
      <c r="I172" s="223">
        <v>44</v>
      </c>
      <c r="J172" s="224">
        <v>66</v>
      </c>
      <c r="K172" s="63"/>
      <c r="L172" s="63"/>
      <c r="M172" s="225">
        <v>186</v>
      </c>
      <c r="N172" s="105"/>
      <c r="O172" s="107"/>
    </row>
    <row r="173" spans="3:15" x14ac:dyDescent="0.2">
      <c r="C173" s="4"/>
      <c r="E173" s="233">
        <f t="shared" si="4"/>
        <v>168</v>
      </c>
      <c r="F173" s="64" t="s">
        <v>346</v>
      </c>
      <c r="G173" s="64"/>
      <c r="H173" s="63"/>
      <c r="I173" s="223">
        <v>43</v>
      </c>
      <c r="J173" s="224">
        <v>64</v>
      </c>
      <c r="K173" s="63"/>
      <c r="L173" s="63"/>
      <c r="M173" s="225">
        <v>180</v>
      </c>
      <c r="N173" s="105"/>
      <c r="O173" s="107"/>
    </row>
    <row r="174" spans="3:15" x14ac:dyDescent="0.2">
      <c r="C174" s="4"/>
      <c r="E174" s="233">
        <f t="shared" si="4"/>
        <v>169</v>
      </c>
      <c r="F174" s="64" t="s">
        <v>347</v>
      </c>
      <c r="G174" s="64"/>
      <c r="H174" s="63"/>
      <c r="I174" s="223">
        <v>28</v>
      </c>
      <c r="J174" s="224">
        <v>42</v>
      </c>
      <c r="K174" s="63"/>
      <c r="L174" s="63"/>
      <c r="M174" s="225">
        <v>190</v>
      </c>
      <c r="N174" s="105"/>
      <c r="O174" s="107"/>
    </row>
    <row r="175" spans="3:15" x14ac:dyDescent="0.2">
      <c r="C175" s="4"/>
      <c r="E175" s="233">
        <f t="shared" si="4"/>
        <v>170</v>
      </c>
      <c r="F175" s="64" t="s">
        <v>348</v>
      </c>
      <c r="G175" s="64"/>
      <c r="H175" s="63"/>
      <c r="I175" s="223">
        <v>18</v>
      </c>
      <c r="J175" s="224">
        <v>27</v>
      </c>
      <c r="K175" s="63"/>
      <c r="L175" s="63"/>
      <c r="M175" s="225">
        <v>97</v>
      </c>
      <c r="N175" s="105"/>
      <c r="O175" s="107">
        <f t="shared" si="5"/>
        <v>170</v>
      </c>
    </row>
    <row r="176" spans="3:15" x14ac:dyDescent="0.2">
      <c r="C176" s="4"/>
      <c r="E176" s="233">
        <f t="shared" si="4"/>
        <v>171</v>
      </c>
      <c r="F176" s="64" t="s">
        <v>349</v>
      </c>
      <c r="G176" s="64"/>
      <c r="H176" s="63"/>
      <c r="I176" s="223">
        <v>38</v>
      </c>
      <c r="J176" s="224">
        <v>57</v>
      </c>
      <c r="K176" s="63"/>
      <c r="L176" s="63"/>
      <c r="M176" s="225">
        <v>145</v>
      </c>
      <c r="N176" s="105"/>
      <c r="O176" s="107">
        <f t="shared" si="5"/>
        <v>171</v>
      </c>
    </row>
    <row r="177" spans="3:15" x14ac:dyDescent="0.2">
      <c r="C177" s="4"/>
      <c r="E177" s="233">
        <f t="shared" si="4"/>
        <v>172</v>
      </c>
      <c r="F177" s="64" t="s">
        <v>350</v>
      </c>
      <c r="G177" s="64"/>
      <c r="H177" s="63"/>
      <c r="I177" s="223">
        <v>42</v>
      </c>
      <c r="J177" s="224">
        <v>63</v>
      </c>
      <c r="K177" s="63"/>
      <c r="L177" s="63"/>
      <c r="M177" s="225">
        <v>198</v>
      </c>
      <c r="N177" s="105"/>
      <c r="O177" s="107"/>
    </row>
    <row r="178" spans="3:15" x14ac:dyDescent="0.2">
      <c r="C178" s="4"/>
      <c r="E178" s="233">
        <f t="shared" si="4"/>
        <v>173</v>
      </c>
      <c r="F178" s="64" t="s">
        <v>351</v>
      </c>
      <c r="G178" s="64"/>
      <c r="H178" s="63"/>
      <c r="I178" s="223">
        <v>48</v>
      </c>
      <c r="J178" s="224">
        <v>71</v>
      </c>
      <c r="K178" s="63"/>
      <c r="L178" s="63"/>
      <c r="M178" s="225">
        <v>277</v>
      </c>
      <c r="N178" s="105"/>
      <c r="O178" s="107"/>
    </row>
    <row r="179" spans="3:15" x14ac:dyDescent="0.2">
      <c r="C179" s="4"/>
      <c r="E179" s="233">
        <f t="shared" si="4"/>
        <v>174</v>
      </c>
      <c r="F179" s="64" t="s">
        <v>352</v>
      </c>
      <c r="G179" s="64"/>
      <c r="H179" s="63"/>
      <c r="I179" s="223">
        <v>22</v>
      </c>
      <c r="J179" s="224">
        <v>33</v>
      </c>
      <c r="K179" s="63"/>
      <c r="L179" s="63"/>
      <c r="M179" s="225">
        <v>121</v>
      </c>
      <c r="N179" s="105"/>
      <c r="O179" s="107"/>
    </row>
    <row r="180" spans="3:15" x14ac:dyDescent="0.2">
      <c r="C180" s="4"/>
      <c r="E180" s="233">
        <f t="shared" si="4"/>
        <v>175</v>
      </c>
      <c r="F180" s="64" t="s">
        <v>353</v>
      </c>
      <c r="G180" s="64"/>
      <c r="H180" s="63"/>
      <c r="I180" s="223">
        <v>25</v>
      </c>
      <c r="J180" s="224">
        <v>38</v>
      </c>
      <c r="K180" s="63"/>
      <c r="L180" s="63"/>
      <c r="M180" s="225">
        <v>126</v>
      </c>
      <c r="N180" s="105"/>
      <c r="O180" s="107"/>
    </row>
    <row r="181" spans="3:15" x14ac:dyDescent="0.2">
      <c r="C181" s="4"/>
      <c r="E181" s="233">
        <f t="shared" si="4"/>
        <v>176</v>
      </c>
      <c r="F181" s="64" t="s">
        <v>354</v>
      </c>
      <c r="G181" s="64"/>
      <c r="H181" s="63"/>
      <c r="I181" s="223">
        <v>23</v>
      </c>
      <c r="J181" s="224">
        <v>34</v>
      </c>
      <c r="K181" s="63"/>
      <c r="L181" s="63"/>
      <c r="M181" s="225">
        <v>144</v>
      </c>
      <c r="N181" s="105"/>
      <c r="O181" s="107"/>
    </row>
    <row r="182" spans="3:15" x14ac:dyDescent="0.2">
      <c r="C182" s="4"/>
      <c r="E182" s="233">
        <f t="shared" si="4"/>
        <v>177</v>
      </c>
      <c r="F182" s="64" t="s">
        <v>355</v>
      </c>
      <c r="G182" s="64"/>
      <c r="H182" s="63"/>
      <c r="I182" s="223">
        <v>24</v>
      </c>
      <c r="J182" s="224">
        <v>36</v>
      </c>
      <c r="K182" s="63"/>
      <c r="L182" s="63"/>
      <c r="M182" s="225">
        <v>103</v>
      </c>
      <c r="N182" s="105"/>
      <c r="O182" s="107"/>
    </row>
    <row r="183" spans="3:15" x14ac:dyDescent="0.2">
      <c r="C183" s="4"/>
      <c r="E183" s="233">
        <f t="shared" si="4"/>
        <v>178</v>
      </c>
      <c r="F183" s="64" t="s">
        <v>356</v>
      </c>
      <c r="G183" s="64"/>
      <c r="H183" s="63"/>
      <c r="I183" s="223">
        <v>28</v>
      </c>
      <c r="J183" s="224">
        <v>42</v>
      </c>
      <c r="K183" s="63"/>
      <c r="L183" s="63"/>
      <c r="M183" s="225">
        <v>131</v>
      </c>
      <c r="N183" s="105"/>
      <c r="O183" s="107"/>
    </row>
    <row r="184" spans="3:15" x14ac:dyDescent="0.2">
      <c r="C184" s="4"/>
      <c r="E184" s="233">
        <f t="shared" si="4"/>
        <v>179</v>
      </c>
      <c r="F184" s="64" t="s">
        <v>357</v>
      </c>
      <c r="G184" s="64"/>
      <c r="H184" s="63"/>
      <c r="I184" s="223">
        <v>29</v>
      </c>
      <c r="J184" s="224">
        <v>44</v>
      </c>
      <c r="K184" s="63"/>
      <c r="L184" s="63"/>
      <c r="M184" s="225">
        <v>142</v>
      </c>
      <c r="N184" s="105"/>
      <c r="O184" s="107"/>
    </row>
    <row r="185" spans="3:15" x14ac:dyDescent="0.2">
      <c r="C185" s="4"/>
      <c r="E185" s="233">
        <f t="shared" si="4"/>
        <v>180</v>
      </c>
      <c r="F185" s="64" t="s">
        <v>358</v>
      </c>
      <c r="G185" s="64"/>
      <c r="H185" s="63"/>
      <c r="I185" s="223">
        <v>23</v>
      </c>
      <c r="J185" s="224">
        <v>34</v>
      </c>
      <c r="K185" s="63"/>
      <c r="L185" s="63"/>
      <c r="M185" s="225">
        <v>103</v>
      </c>
      <c r="N185" s="105"/>
      <c r="O185" s="107"/>
    </row>
    <row r="186" spans="3:15" x14ac:dyDescent="0.2">
      <c r="C186" s="4"/>
      <c r="E186" s="233">
        <f t="shared" si="4"/>
        <v>181</v>
      </c>
      <c r="F186" s="64" t="s">
        <v>359</v>
      </c>
      <c r="G186" s="64"/>
      <c r="H186" s="63"/>
      <c r="I186" s="223">
        <v>24</v>
      </c>
      <c r="J186" s="224">
        <v>36</v>
      </c>
      <c r="K186" s="63"/>
      <c r="L186" s="63"/>
      <c r="M186" s="225">
        <v>112</v>
      </c>
      <c r="N186" s="105"/>
      <c r="O186" s="107"/>
    </row>
    <row r="187" spans="3:15" x14ac:dyDescent="0.2">
      <c r="C187" s="4"/>
      <c r="E187" s="233">
        <f t="shared" si="4"/>
        <v>182</v>
      </c>
      <c r="F187" s="64" t="s">
        <v>360</v>
      </c>
      <c r="G187" s="64"/>
      <c r="H187" s="63"/>
      <c r="I187" s="223">
        <v>22</v>
      </c>
      <c r="J187" s="224">
        <v>33</v>
      </c>
      <c r="K187" s="63"/>
      <c r="L187" s="63"/>
      <c r="M187" s="225">
        <v>195</v>
      </c>
      <c r="N187" s="105"/>
      <c r="O187" s="107"/>
    </row>
    <row r="188" spans="3:15" x14ac:dyDescent="0.2">
      <c r="C188" s="4"/>
      <c r="E188" s="233">
        <f t="shared" si="4"/>
        <v>183</v>
      </c>
      <c r="F188" s="64" t="s">
        <v>361</v>
      </c>
      <c r="G188" s="64"/>
      <c r="H188" s="63"/>
      <c r="I188" s="223">
        <v>22</v>
      </c>
      <c r="J188" s="224">
        <v>33</v>
      </c>
      <c r="K188" s="63"/>
      <c r="L188" s="63"/>
      <c r="M188" s="225">
        <v>130</v>
      </c>
      <c r="N188" s="105"/>
      <c r="O188" s="107"/>
    </row>
    <row r="189" spans="3:15" x14ac:dyDescent="0.2">
      <c r="C189" s="4"/>
      <c r="E189" s="233">
        <f t="shared" si="4"/>
        <v>184</v>
      </c>
      <c r="F189" s="64" t="s">
        <v>362</v>
      </c>
      <c r="G189" s="64"/>
      <c r="H189" s="63"/>
      <c r="I189" s="223">
        <v>24</v>
      </c>
      <c r="J189" s="224">
        <v>36</v>
      </c>
      <c r="K189" s="63"/>
      <c r="L189" s="63"/>
      <c r="M189" s="225">
        <v>129</v>
      </c>
      <c r="N189" s="105"/>
      <c r="O189" s="107"/>
    </row>
    <row r="190" spans="3:15" x14ac:dyDescent="0.2">
      <c r="C190" s="4"/>
      <c r="E190" s="233">
        <f t="shared" si="4"/>
        <v>185</v>
      </c>
      <c r="F190" s="64" t="s">
        <v>363</v>
      </c>
      <c r="G190" s="64"/>
      <c r="H190" s="63"/>
      <c r="I190" s="223">
        <v>20</v>
      </c>
      <c r="J190" s="224">
        <v>29</v>
      </c>
      <c r="K190" s="63"/>
      <c r="L190" s="63"/>
      <c r="M190" s="225">
        <v>109</v>
      </c>
      <c r="N190" s="105"/>
      <c r="O190" s="107"/>
    </row>
    <row r="191" spans="3:15" x14ac:dyDescent="0.2">
      <c r="C191" s="4"/>
      <c r="E191" s="233">
        <f t="shared" si="4"/>
        <v>186</v>
      </c>
      <c r="F191" s="64" t="s">
        <v>364</v>
      </c>
      <c r="G191" s="64"/>
      <c r="H191" s="63"/>
      <c r="I191" s="223">
        <v>34</v>
      </c>
      <c r="J191" s="224">
        <v>51</v>
      </c>
      <c r="K191" s="63"/>
      <c r="L191" s="63"/>
      <c r="M191" s="225">
        <v>159</v>
      </c>
      <c r="N191" s="105"/>
      <c r="O191" s="107"/>
    </row>
    <row r="192" spans="3:15" x14ac:dyDescent="0.2">
      <c r="C192" s="4"/>
      <c r="E192" s="233">
        <f t="shared" si="4"/>
        <v>187</v>
      </c>
      <c r="F192" s="64" t="s">
        <v>365</v>
      </c>
      <c r="G192" s="64"/>
      <c r="H192" s="63"/>
      <c r="I192" s="223">
        <v>25</v>
      </c>
      <c r="J192" s="224">
        <v>38</v>
      </c>
      <c r="K192" s="63"/>
      <c r="L192" s="63"/>
      <c r="M192" s="225">
        <v>140</v>
      </c>
      <c r="N192" s="105"/>
      <c r="O192" s="107"/>
    </row>
    <row r="193" spans="3:15" x14ac:dyDescent="0.2">
      <c r="C193" s="4"/>
      <c r="E193" s="233">
        <f t="shared" si="4"/>
        <v>188</v>
      </c>
      <c r="F193" s="64" t="s">
        <v>366</v>
      </c>
      <c r="G193" s="64"/>
      <c r="H193" s="63"/>
      <c r="I193" s="223">
        <v>18</v>
      </c>
      <c r="J193" s="224">
        <v>27</v>
      </c>
      <c r="K193" s="63"/>
      <c r="L193" s="63"/>
      <c r="M193" s="225">
        <v>85</v>
      </c>
      <c r="N193" s="105"/>
      <c r="O193" s="107"/>
    </row>
    <row r="194" spans="3:15" x14ac:dyDescent="0.2">
      <c r="C194" s="4"/>
      <c r="E194" s="233">
        <f t="shared" si="4"/>
        <v>189</v>
      </c>
      <c r="F194" s="64" t="s">
        <v>367</v>
      </c>
      <c r="G194" s="64"/>
      <c r="H194" s="63"/>
      <c r="I194" s="223">
        <v>34</v>
      </c>
      <c r="J194" s="224">
        <v>51</v>
      </c>
      <c r="K194" s="63"/>
      <c r="L194" s="63"/>
      <c r="M194" s="225">
        <v>174</v>
      </c>
      <c r="N194" s="105"/>
      <c r="O194" s="107"/>
    </row>
    <row r="195" spans="3:15" x14ac:dyDescent="0.2">
      <c r="C195" s="4"/>
      <c r="E195" s="233">
        <f t="shared" si="4"/>
        <v>190</v>
      </c>
      <c r="F195" s="64" t="s">
        <v>368</v>
      </c>
      <c r="G195" s="64"/>
      <c r="H195" s="63"/>
      <c r="I195" s="223">
        <v>29</v>
      </c>
      <c r="J195" s="224">
        <v>44</v>
      </c>
      <c r="K195" s="63"/>
      <c r="L195" s="63"/>
      <c r="M195" s="225">
        <v>97</v>
      </c>
      <c r="N195" s="105"/>
      <c r="O195" s="107"/>
    </row>
    <row r="196" spans="3:15" x14ac:dyDescent="0.2">
      <c r="C196" s="4"/>
      <c r="E196" s="233">
        <f t="shared" si="4"/>
        <v>191</v>
      </c>
      <c r="F196" s="64" t="s">
        <v>369</v>
      </c>
      <c r="G196" s="64"/>
      <c r="H196" s="63"/>
      <c r="I196" s="223">
        <v>24</v>
      </c>
      <c r="J196" s="224">
        <v>36</v>
      </c>
      <c r="K196" s="63"/>
      <c r="L196" s="63"/>
      <c r="M196" s="225">
        <v>114</v>
      </c>
      <c r="N196" s="105"/>
      <c r="O196" s="107"/>
    </row>
    <row r="197" spans="3:15" x14ac:dyDescent="0.2">
      <c r="C197" s="4"/>
      <c r="E197" s="233">
        <f t="shared" si="4"/>
        <v>192</v>
      </c>
      <c r="F197" s="64" t="s">
        <v>370</v>
      </c>
      <c r="G197" s="64"/>
      <c r="H197" s="63"/>
      <c r="I197" s="223">
        <v>26</v>
      </c>
      <c r="J197" s="224">
        <v>39</v>
      </c>
      <c r="K197" s="63"/>
      <c r="L197" s="63"/>
      <c r="M197" s="225">
        <v>118</v>
      </c>
      <c r="N197" s="105"/>
      <c r="O197" s="107"/>
    </row>
    <row r="198" spans="3:15" x14ac:dyDescent="0.2">
      <c r="C198" s="4"/>
      <c r="E198" s="233">
        <f t="shared" si="4"/>
        <v>193</v>
      </c>
      <c r="F198" s="64" t="s">
        <v>371</v>
      </c>
      <c r="G198" s="64"/>
      <c r="H198" s="63"/>
      <c r="I198" s="223">
        <v>20</v>
      </c>
      <c r="J198" s="224">
        <v>29</v>
      </c>
      <c r="K198" s="63"/>
      <c r="L198" s="63"/>
      <c r="M198" s="225">
        <v>102</v>
      </c>
      <c r="N198" s="105"/>
      <c r="O198" s="107"/>
    </row>
    <row r="199" spans="3:15" x14ac:dyDescent="0.2">
      <c r="C199" s="4"/>
      <c r="E199" s="233">
        <f t="shared" si="4"/>
        <v>194</v>
      </c>
      <c r="F199" s="64" t="s">
        <v>372</v>
      </c>
      <c r="G199" s="64"/>
      <c r="H199" s="63"/>
      <c r="I199" s="223">
        <v>44</v>
      </c>
      <c r="J199" s="224">
        <v>66</v>
      </c>
      <c r="K199" s="63"/>
      <c r="L199" s="63"/>
      <c r="M199" s="225">
        <v>203</v>
      </c>
      <c r="N199" s="105"/>
      <c r="O199" s="107"/>
    </row>
    <row r="200" spans="3:15" x14ac:dyDescent="0.2">
      <c r="C200" s="4"/>
      <c r="E200" s="233">
        <f t="shared" ref="E200:E230" si="6">1+E199</f>
        <v>195</v>
      </c>
      <c r="F200" s="64" t="s">
        <v>373</v>
      </c>
      <c r="G200" s="64"/>
      <c r="H200" s="63"/>
      <c r="I200" s="223">
        <v>28</v>
      </c>
      <c r="J200" s="224">
        <v>42</v>
      </c>
      <c r="K200" s="63"/>
      <c r="L200" s="63"/>
      <c r="M200" s="225">
        <v>155</v>
      </c>
      <c r="N200" s="105"/>
      <c r="O200" s="107"/>
    </row>
    <row r="201" spans="3:15" x14ac:dyDescent="0.2">
      <c r="C201" s="4"/>
      <c r="E201" s="233">
        <f t="shared" si="6"/>
        <v>196</v>
      </c>
      <c r="F201" s="64" t="s">
        <v>374</v>
      </c>
      <c r="G201" s="64"/>
      <c r="H201" s="63"/>
      <c r="I201" s="223">
        <v>21</v>
      </c>
      <c r="J201" s="224">
        <v>32</v>
      </c>
      <c r="K201" s="63"/>
      <c r="L201" s="63"/>
      <c r="M201" s="225">
        <v>77</v>
      </c>
      <c r="N201" s="105"/>
      <c r="O201" s="107"/>
    </row>
    <row r="202" spans="3:15" x14ac:dyDescent="0.2">
      <c r="C202" s="4"/>
      <c r="E202" s="233">
        <f t="shared" si="6"/>
        <v>197</v>
      </c>
      <c r="F202" s="64" t="s">
        <v>375</v>
      </c>
      <c r="G202" s="64"/>
      <c r="H202" s="63"/>
      <c r="I202" s="223">
        <v>21</v>
      </c>
      <c r="J202" s="224">
        <v>32</v>
      </c>
      <c r="K202" s="63"/>
      <c r="L202" s="63"/>
      <c r="M202" s="225">
        <v>110</v>
      </c>
      <c r="N202" s="105"/>
      <c r="O202" s="107"/>
    </row>
    <row r="203" spans="3:15" x14ac:dyDescent="0.2">
      <c r="C203" s="4"/>
      <c r="E203" s="233">
        <f t="shared" si="6"/>
        <v>198</v>
      </c>
      <c r="F203" s="64" t="s">
        <v>376</v>
      </c>
      <c r="G203" s="64"/>
      <c r="H203" s="63"/>
      <c r="I203" s="223">
        <v>29</v>
      </c>
      <c r="J203" s="224">
        <v>44</v>
      </c>
      <c r="K203" s="63"/>
      <c r="L203" s="63"/>
      <c r="M203" s="225">
        <v>120</v>
      </c>
      <c r="N203" s="105"/>
      <c r="O203" s="107"/>
    </row>
    <row r="204" spans="3:15" x14ac:dyDescent="0.2">
      <c r="C204" s="4"/>
      <c r="E204" s="233">
        <f t="shared" si="6"/>
        <v>199</v>
      </c>
      <c r="F204" s="64" t="s">
        <v>377</v>
      </c>
      <c r="G204" s="64"/>
      <c r="H204" s="63"/>
      <c r="I204" s="223">
        <v>16</v>
      </c>
      <c r="J204" s="224">
        <v>24</v>
      </c>
      <c r="K204" s="63"/>
      <c r="L204" s="63"/>
      <c r="M204" s="225">
        <v>107</v>
      </c>
      <c r="N204" s="105"/>
      <c r="O204" s="107"/>
    </row>
    <row r="205" spans="3:15" x14ac:dyDescent="0.2">
      <c r="C205" s="4"/>
      <c r="E205" s="233">
        <f t="shared" si="6"/>
        <v>200</v>
      </c>
      <c r="F205" s="64" t="s">
        <v>378</v>
      </c>
      <c r="G205" s="64"/>
      <c r="H205" s="63"/>
      <c r="I205" s="223">
        <v>27</v>
      </c>
      <c r="J205" s="224">
        <v>40</v>
      </c>
      <c r="K205" s="63"/>
      <c r="L205" s="63"/>
      <c r="M205" s="225">
        <v>144</v>
      </c>
      <c r="N205" s="105"/>
      <c r="O205" s="107"/>
    </row>
    <row r="206" spans="3:15" x14ac:dyDescent="0.2">
      <c r="C206" s="4"/>
      <c r="E206" s="233">
        <f t="shared" si="6"/>
        <v>201</v>
      </c>
      <c r="F206" s="64" t="s">
        <v>379</v>
      </c>
      <c r="G206" s="64"/>
      <c r="H206" s="63"/>
      <c r="I206" s="223">
        <v>19</v>
      </c>
      <c r="J206" s="224">
        <v>28</v>
      </c>
      <c r="K206" s="63"/>
      <c r="L206" s="63"/>
      <c r="M206" s="225">
        <v>135</v>
      </c>
      <c r="N206" s="105"/>
      <c r="O206" s="107"/>
    </row>
    <row r="207" spans="3:15" x14ac:dyDescent="0.2">
      <c r="C207" s="4"/>
      <c r="E207" s="233">
        <f t="shared" si="6"/>
        <v>202</v>
      </c>
      <c r="F207" s="64" t="s">
        <v>380</v>
      </c>
      <c r="G207" s="64"/>
      <c r="H207" s="63"/>
      <c r="I207" s="223">
        <v>28</v>
      </c>
      <c r="J207" s="224">
        <v>41</v>
      </c>
      <c r="K207" s="63"/>
      <c r="L207" s="63"/>
      <c r="M207" s="225">
        <v>143</v>
      </c>
      <c r="N207" s="105"/>
      <c r="O207" s="107"/>
    </row>
    <row r="208" spans="3:15" x14ac:dyDescent="0.2">
      <c r="C208" s="4"/>
      <c r="E208" s="233">
        <f t="shared" si="6"/>
        <v>203</v>
      </c>
      <c r="F208" s="64" t="s">
        <v>381</v>
      </c>
      <c r="G208" s="64"/>
      <c r="H208" s="63"/>
      <c r="I208" s="223">
        <v>17</v>
      </c>
      <c r="J208" s="224">
        <v>26</v>
      </c>
      <c r="K208" s="63"/>
      <c r="L208" s="63"/>
      <c r="M208" s="225">
        <v>98</v>
      </c>
      <c r="N208" s="105"/>
      <c r="O208" s="107"/>
    </row>
    <row r="209" spans="3:15" x14ac:dyDescent="0.2">
      <c r="C209" s="4"/>
      <c r="E209" s="233">
        <f t="shared" si="6"/>
        <v>204</v>
      </c>
      <c r="F209" s="64" t="s">
        <v>382</v>
      </c>
      <c r="G209" s="64"/>
      <c r="H209" s="63"/>
      <c r="I209" s="223">
        <v>21</v>
      </c>
      <c r="J209" s="224">
        <v>32</v>
      </c>
      <c r="K209" s="63"/>
      <c r="L209" s="63"/>
      <c r="M209" s="225">
        <v>85</v>
      </c>
      <c r="N209" s="105"/>
      <c r="O209" s="107"/>
    </row>
    <row r="210" spans="3:15" x14ac:dyDescent="0.2">
      <c r="C210" s="4"/>
      <c r="E210" s="233">
        <f t="shared" si="6"/>
        <v>205</v>
      </c>
      <c r="F210" s="64" t="s">
        <v>383</v>
      </c>
      <c r="G210" s="64"/>
      <c r="H210" s="63"/>
      <c r="I210" s="223">
        <v>27</v>
      </c>
      <c r="J210" s="224">
        <v>40</v>
      </c>
      <c r="K210" s="63"/>
      <c r="L210" s="63"/>
      <c r="M210" s="225">
        <v>113</v>
      </c>
      <c r="N210" s="105"/>
      <c r="O210" s="107"/>
    </row>
    <row r="211" spans="3:15" x14ac:dyDescent="0.2">
      <c r="C211" s="4"/>
      <c r="E211" s="233">
        <f t="shared" si="6"/>
        <v>206</v>
      </c>
      <c r="F211" s="64" t="s">
        <v>384</v>
      </c>
      <c r="G211" s="64"/>
      <c r="H211" s="63"/>
      <c r="I211" s="223">
        <v>23</v>
      </c>
      <c r="J211" s="224">
        <v>34</v>
      </c>
      <c r="K211" s="63"/>
      <c r="L211" s="63"/>
      <c r="M211" s="225">
        <v>104</v>
      </c>
      <c r="N211" s="105"/>
      <c r="O211" s="107"/>
    </row>
    <row r="212" spans="3:15" x14ac:dyDescent="0.2">
      <c r="C212" s="4"/>
      <c r="E212" s="233">
        <f t="shared" si="6"/>
        <v>207</v>
      </c>
      <c r="F212" s="64" t="s">
        <v>385</v>
      </c>
      <c r="G212" s="64"/>
      <c r="H212" s="63"/>
      <c r="I212" s="223">
        <v>32</v>
      </c>
      <c r="J212" s="224">
        <v>48</v>
      </c>
      <c r="K212" s="63"/>
      <c r="L212" s="63"/>
      <c r="M212" s="225">
        <v>150</v>
      </c>
      <c r="N212" s="105"/>
      <c r="O212" s="107"/>
    </row>
    <row r="213" spans="3:15" x14ac:dyDescent="0.2">
      <c r="C213" s="4"/>
      <c r="E213" s="233">
        <f t="shared" si="6"/>
        <v>208</v>
      </c>
      <c r="F213" s="64" t="s">
        <v>176</v>
      </c>
      <c r="G213" s="64"/>
      <c r="H213" s="63"/>
      <c r="I213" s="223">
        <v>30</v>
      </c>
      <c r="J213" s="224">
        <v>45</v>
      </c>
      <c r="K213" s="63"/>
      <c r="L213" s="63"/>
      <c r="M213" s="225">
        <v>127</v>
      </c>
      <c r="N213" s="105"/>
      <c r="O213" s="107"/>
    </row>
    <row r="214" spans="3:15" x14ac:dyDescent="0.2">
      <c r="C214" s="4"/>
      <c r="E214" s="233">
        <f t="shared" si="6"/>
        <v>209</v>
      </c>
      <c r="F214" s="64" t="s">
        <v>177</v>
      </c>
      <c r="G214" s="64"/>
      <c r="H214" s="63"/>
      <c r="I214" s="223">
        <v>44</v>
      </c>
      <c r="J214" s="224">
        <v>65</v>
      </c>
      <c r="K214" s="63"/>
      <c r="L214" s="63"/>
      <c r="M214" s="225">
        <v>156</v>
      </c>
      <c r="N214" s="105"/>
      <c r="O214" s="107"/>
    </row>
    <row r="215" spans="3:15" x14ac:dyDescent="0.2">
      <c r="C215" s="4"/>
      <c r="E215" s="233">
        <f t="shared" si="6"/>
        <v>210</v>
      </c>
      <c r="F215" s="64" t="s">
        <v>386</v>
      </c>
      <c r="G215" s="64"/>
      <c r="H215" s="63"/>
      <c r="I215" s="223">
        <v>52</v>
      </c>
      <c r="J215" s="224">
        <v>77</v>
      </c>
      <c r="K215" s="63"/>
      <c r="L215" s="63"/>
      <c r="M215" s="225">
        <v>182</v>
      </c>
      <c r="N215" s="105"/>
      <c r="O215" s="107"/>
    </row>
    <row r="216" spans="3:15" x14ac:dyDescent="0.2">
      <c r="C216" s="4"/>
      <c r="E216" s="233">
        <f t="shared" si="6"/>
        <v>211</v>
      </c>
      <c r="F216" s="64" t="s">
        <v>387</v>
      </c>
      <c r="G216" s="64"/>
      <c r="H216" s="63"/>
      <c r="I216" s="223">
        <v>42</v>
      </c>
      <c r="J216" s="224">
        <v>63</v>
      </c>
      <c r="K216" s="63"/>
      <c r="L216" s="63"/>
      <c r="M216" s="225">
        <v>333</v>
      </c>
      <c r="N216" s="105"/>
      <c r="O216" s="107"/>
    </row>
    <row r="217" spans="3:15" x14ac:dyDescent="0.2">
      <c r="C217" s="4"/>
      <c r="E217" s="233">
        <f t="shared" si="6"/>
        <v>212</v>
      </c>
      <c r="F217" s="64" t="s">
        <v>388</v>
      </c>
      <c r="G217" s="64"/>
      <c r="H217" s="63"/>
      <c r="I217" s="223">
        <v>44</v>
      </c>
      <c r="J217" s="224">
        <v>65</v>
      </c>
      <c r="K217" s="63"/>
      <c r="L217" s="63"/>
      <c r="M217" s="225">
        <v>233</v>
      </c>
      <c r="N217" s="105"/>
      <c r="O217" s="107"/>
    </row>
    <row r="218" spans="3:15" x14ac:dyDescent="0.2">
      <c r="C218" s="4"/>
      <c r="E218" s="233">
        <f t="shared" si="6"/>
        <v>213</v>
      </c>
      <c r="F218" s="64" t="s">
        <v>389</v>
      </c>
      <c r="G218" s="64"/>
      <c r="H218" s="63"/>
      <c r="I218" s="223">
        <v>41</v>
      </c>
      <c r="J218" s="224">
        <v>62</v>
      </c>
      <c r="K218" s="63"/>
      <c r="L218" s="63"/>
      <c r="M218" s="225">
        <v>204</v>
      </c>
      <c r="N218" s="105"/>
      <c r="O218" s="107"/>
    </row>
    <row r="219" spans="3:15" x14ac:dyDescent="0.2">
      <c r="C219" s="4"/>
      <c r="E219" s="233">
        <f t="shared" si="6"/>
        <v>214</v>
      </c>
      <c r="F219" s="64" t="s">
        <v>390</v>
      </c>
      <c r="G219" s="64"/>
      <c r="H219" s="63"/>
      <c r="I219" s="223">
        <v>43</v>
      </c>
      <c r="J219" s="224">
        <v>64</v>
      </c>
      <c r="K219" s="63"/>
      <c r="L219" s="63"/>
      <c r="M219" s="225">
        <v>262</v>
      </c>
      <c r="N219" s="105"/>
      <c r="O219" s="107"/>
    </row>
    <row r="220" spans="3:15" x14ac:dyDescent="0.2">
      <c r="C220" s="4"/>
      <c r="E220" s="233">
        <f t="shared" si="6"/>
        <v>215</v>
      </c>
      <c r="F220" s="64" t="s">
        <v>391</v>
      </c>
      <c r="G220" s="64"/>
      <c r="H220" s="63"/>
      <c r="I220" s="223">
        <v>44</v>
      </c>
      <c r="J220" s="224">
        <v>65</v>
      </c>
      <c r="K220" s="63"/>
      <c r="L220" s="63"/>
      <c r="M220" s="225">
        <v>256</v>
      </c>
      <c r="N220" s="105"/>
      <c r="O220" s="107"/>
    </row>
    <row r="221" spans="3:15" x14ac:dyDescent="0.2">
      <c r="C221" s="4"/>
      <c r="E221" s="233">
        <f t="shared" si="6"/>
        <v>216</v>
      </c>
      <c r="F221" s="64" t="s">
        <v>392</v>
      </c>
      <c r="G221" s="64"/>
      <c r="H221" s="63"/>
      <c r="I221" s="223">
        <v>44</v>
      </c>
      <c r="J221" s="224">
        <v>66</v>
      </c>
      <c r="K221" s="63"/>
      <c r="L221" s="63"/>
      <c r="M221" s="225">
        <v>308</v>
      </c>
      <c r="N221" s="105"/>
      <c r="O221" s="107"/>
    </row>
    <row r="222" spans="3:15" x14ac:dyDescent="0.2">
      <c r="C222" s="4"/>
      <c r="E222" s="233">
        <f t="shared" si="6"/>
        <v>217</v>
      </c>
      <c r="F222" s="64" t="s">
        <v>393</v>
      </c>
      <c r="G222" s="64"/>
      <c r="H222" s="63"/>
      <c r="I222" s="223">
        <v>40</v>
      </c>
      <c r="J222" s="224">
        <v>59</v>
      </c>
      <c r="K222" s="63"/>
      <c r="L222" s="63"/>
      <c r="M222" s="225">
        <v>327</v>
      </c>
      <c r="N222" s="105"/>
      <c r="O222" s="107"/>
    </row>
    <row r="223" spans="3:15" x14ac:dyDescent="0.2">
      <c r="C223" s="4"/>
      <c r="E223" s="233">
        <f t="shared" si="6"/>
        <v>218</v>
      </c>
      <c r="F223" s="64" t="s">
        <v>183</v>
      </c>
      <c r="G223" s="64"/>
      <c r="H223" s="63"/>
      <c r="I223" s="223">
        <v>44</v>
      </c>
      <c r="J223" s="224">
        <v>66</v>
      </c>
      <c r="K223" s="63"/>
      <c r="L223" s="63"/>
      <c r="M223" s="225">
        <v>203</v>
      </c>
      <c r="N223" s="105"/>
      <c r="O223" s="107"/>
    </row>
    <row r="224" spans="3:15" x14ac:dyDescent="0.2">
      <c r="C224" s="4"/>
      <c r="E224" s="233">
        <f t="shared" si="6"/>
        <v>219</v>
      </c>
      <c r="F224" s="64" t="s">
        <v>394</v>
      </c>
      <c r="G224" s="64"/>
      <c r="H224" s="63"/>
      <c r="I224" s="223">
        <v>40</v>
      </c>
      <c r="J224" s="224">
        <v>59</v>
      </c>
      <c r="K224" s="63"/>
      <c r="L224" s="63"/>
      <c r="M224" s="225">
        <v>182</v>
      </c>
      <c r="N224" s="105"/>
      <c r="O224" s="107"/>
    </row>
    <row r="225" spans="3:15" x14ac:dyDescent="0.2">
      <c r="C225" s="4"/>
      <c r="E225" s="233">
        <f t="shared" si="6"/>
        <v>220</v>
      </c>
      <c r="F225" s="64" t="s">
        <v>395</v>
      </c>
      <c r="G225" s="64"/>
      <c r="H225" s="63"/>
      <c r="I225" s="223">
        <v>44</v>
      </c>
      <c r="J225" s="224">
        <v>66</v>
      </c>
      <c r="K225" s="63"/>
      <c r="L225" s="63"/>
      <c r="M225" s="225">
        <v>163</v>
      </c>
      <c r="N225" s="105"/>
      <c r="O225" s="107"/>
    </row>
    <row r="226" spans="3:15" x14ac:dyDescent="0.2">
      <c r="C226" s="4"/>
      <c r="E226" s="233">
        <f t="shared" si="6"/>
        <v>221</v>
      </c>
      <c r="F226" s="64" t="s">
        <v>396</v>
      </c>
      <c r="G226" s="64"/>
      <c r="H226" s="63"/>
      <c r="I226" s="223">
        <v>35</v>
      </c>
      <c r="J226" s="224">
        <v>52</v>
      </c>
      <c r="K226" s="63"/>
      <c r="L226" s="63"/>
      <c r="M226" s="225">
        <v>99</v>
      </c>
      <c r="N226" s="105"/>
      <c r="O226" s="107"/>
    </row>
    <row r="227" spans="3:15" x14ac:dyDescent="0.2">
      <c r="C227" s="4"/>
      <c r="E227" s="233">
        <f t="shared" si="6"/>
        <v>222</v>
      </c>
      <c r="F227" s="64" t="s">
        <v>397</v>
      </c>
      <c r="G227" s="64"/>
      <c r="H227" s="63"/>
      <c r="I227" s="223">
        <v>24</v>
      </c>
      <c r="J227" s="224">
        <v>36</v>
      </c>
      <c r="K227" s="63"/>
      <c r="L227" s="63"/>
      <c r="M227" s="225">
        <v>111</v>
      </c>
      <c r="N227" s="105"/>
      <c r="O227" s="107"/>
    </row>
    <row r="228" spans="3:15" x14ac:dyDescent="0.2">
      <c r="C228" s="4"/>
      <c r="E228" s="233">
        <f t="shared" si="6"/>
        <v>223</v>
      </c>
      <c r="F228" s="64" t="s">
        <v>398</v>
      </c>
      <c r="G228" s="64"/>
      <c r="H228" s="63"/>
      <c r="I228" s="223">
        <v>13</v>
      </c>
      <c r="J228" s="224">
        <v>20</v>
      </c>
      <c r="K228" s="63"/>
      <c r="L228" s="63"/>
      <c r="M228" s="225">
        <v>98</v>
      </c>
      <c r="N228" s="105"/>
      <c r="O228" s="107"/>
    </row>
    <row r="229" spans="3:15" x14ac:dyDescent="0.2">
      <c r="C229" s="4"/>
      <c r="E229" s="233">
        <f t="shared" si="6"/>
        <v>224</v>
      </c>
      <c r="F229" s="64" t="s">
        <v>399</v>
      </c>
      <c r="G229" s="64"/>
      <c r="H229" s="63"/>
      <c r="I229" s="223">
        <v>36</v>
      </c>
      <c r="J229" s="224">
        <v>53</v>
      </c>
      <c r="K229" s="63"/>
      <c r="L229" s="63"/>
      <c r="M229" s="225">
        <v>210</v>
      </c>
      <c r="N229" s="105"/>
      <c r="O229" s="107"/>
    </row>
    <row r="230" spans="3:15" ht="13.5" thickBot="1" x14ac:dyDescent="0.25">
      <c r="C230" s="4"/>
      <c r="E230" s="234">
        <f t="shared" si="6"/>
        <v>225</v>
      </c>
      <c r="F230" s="81" t="s">
        <v>400</v>
      </c>
      <c r="G230" s="81"/>
      <c r="H230" s="235"/>
      <c r="I230" s="226">
        <v>28</v>
      </c>
      <c r="J230" s="227">
        <v>42</v>
      </c>
      <c r="K230" s="235"/>
      <c r="L230" s="235"/>
      <c r="M230" s="228">
        <v>125</v>
      </c>
      <c r="N230" s="105"/>
      <c r="O230" s="107"/>
    </row>
    <row r="231" spans="3:15" ht="13.5" thickBot="1" x14ac:dyDescent="0.25">
      <c r="C231" s="6"/>
      <c r="D231" s="7"/>
      <c r="E231" s="236" t="s">
        <v>184</v>
      </c>
      <c r="F231" s="7"/>
      <c r="G231" s="7"/>
      <c r="H231" s="108"/>
      <c r="I231" s="108"/>
      <c r="J231" s="108"/>
      <c r="K231" s="108"/>
      <c r="L231" s="108"/>
      <c r="M231" s="108"/>
      <c r="N231" s="109"/>
    </row>
    <row r="233" spans="3:15" x14ac:dyDescent="0.2">
      <c r="F233" s="246" t="s">
        <v>138</v>
      </c>
      <c r="G233" s="246"/>
      <c r="H233" s="186" t="s">
        <v>139</v>
      </c>
    </row>
    <row r="235" spans="3:15" x14ac:dyDescent="0.2">
      <c r="C235" s="163" t="s">
        <v>402</v>
      </c>
    </row>
    <row r="236" spans="3:15" x14ac:dyDescent="0.2">
      <c r="C236" s="163" t="s">
        <v>118</v>
      </c>
    </row>
    <row r="237" spans="3:15" x14ac:dyDescent="0.2">
      <c r="C237" s="163" t="s">
        <v>110</v>
      </c>
    </row>
  </sheetData>
  <sheetProtection sheet="1" objects="1" scenarios="1"/>
  <mergeCells count="2">
    <mergeCell ref="E4:M4"/>
    <mergeCell ref="F233:G233"/>
  </mergeCells>
  <phoneticPr fontId="0" type="noConversion"/>
  <dataValidations count="3">
    <dataValidation type="decimal" allowBlank="1" showErrorMessage="1" errorTitle="Verpflegungspauschalen" error="Hier bitte die Verpflegungspauschalen eingeben." sqref="H6:J230" xr:uid="{B03A827A-7446-4C69-A94F-FCCC5CE62838}">
      <formula1>0</formula1>
      <formula2>1000</formula2>
    </dataValidation>
    <dataValidation type="decimal" allowBlank="1" showErrorMessage="1" errorTitle="Abzug bei Frühstück" error="Hier bitte den Abzug für das Frühstück - als negativen Werte - eingeben." sqref="K6:K230" xr:uid="{3A263A44-EA66-40F5-BC7F-A776944701D7}">
      <formula1>-1000</formula1>
      <formula2>0</formula2>
    </dataValidation>
    <dataValidation allowBlank="1" showInputMessage="1" showErrorMessage="1" errorTitle="Übernachtungspauschalen" error="Hier bitte die Übernachtungspauschalen eingeben." sqref="M6:M230" xr:uid="{6EBE51B5-97F2-47DA-AFFA-0879B7A8C461}"/>
  </dataValidations>
  <hyperlinks>
    <hyperlink ref="H233" location="HilfeB3" display="Hilfe?" xr:uid="{00000000-0004-0000-0600-000000000000}"/>
    <hyperlink ref="F233:G233" location="Startseite!Startseite" display="&lt;&lt; Startseite" xr:uid="{00000000-0004-0000-0600-000001000000}"/>
  </hyperlinks>
  <printOptions horizontalCentered="1"/>
  <pageMargins left="0.59055118110236227" right="0.39370078740157483" top="0.59055118110236227" bottom="0.59055118110236227" header="0.51181102362204722" footer="0.51181102362204722"/>
  <pageSetup paperSize="9" scale="8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>
    <tabColor indexed="10"/>
  </sheetPr>
  <dimension ref="B3:F35"/>
  <sheetViews>
    <sheetView showGridLines="0" workbookViewId="0">
      <selection activeCell="E10" sqref="E10"/>
    </sheetView>
  </sheetViews>
  <sheetFormatPr baseColWidth="10" defaultColWidth="11.42578125" defaultRowHeight="12.75" x14ac:dyDescent="0.2"/>
  <cols>
    <col min="1" max="1" width="11.42578125" style="3" customWidth="1"/>
    <col min="2" max="2" width="2.85546875" style="3" bestFit="1" customWidth="1"/>
    <col min="3" max="3" width="18.7109375" style="3" bestFit="1" customWidth="1"/>
    <col min="4" max="4" width="49" style="3" bestFit="1" customWidth="1"/>
    <col min="5" max="5" width="34.28515625" style="3" customWidth="1"/>
    <col min="6" max="6" width="11.28515625" style="3" customWidth="1"/>
    <col min="7" max="16384" width="11.42578125" style="3"/>
  </cols>
  <sheetData>
    <row r="3" spans="2:6" ht="13.5" thickBot="1" x14ac:dyDescent="0.25"/>
    <row r="4" spans="2:6" ht="13.5" thickBot="1" x14ac:dyDescent="0.25">
      <c r="B4" s="164" t="s">
        <v>8</v>
      </c>
      <c r="C4" s="165" t="s">
        <v>116</v>
      </c>
      <c r="D4" s="165" t="s">
        <v>119</v>
      </c>
      <c r="E4" s="166" t="s">
        <v>120</v>
      </c>
      <c r="F4" s="11"/>
    </row>
    <row r="5" spans="2:6" x14ac:dyDescent="0.2">
      <c r="B5" s="167">
        <v>1</v>
      </c>
      <c r="C5" s="168" t="s">
        <v>121</v>
      </c>
      <c r="D5" s="168" t="s">
        <v>131</v>
      </c>
      <c r="E5" s="169" t="s">
        <v>122</v>
      </c>
    </row>
    <row r="6" spans="2:6" x14ac:dyDescent="0.2">
      <c r="B6" s="167">
        <v>2</v>
      </c>
      <c r="C6" s="168" t="s">
        <v>123</v>
      </c>
      <c r="D6" s="168" t="s">
        <v>132</v>
      </c>
      <c r="E6" s="169" t="s">
        <v>124</v>
      </c>
    </row>
    <row r="7" spans="2:6" x14ac:dyDescent="0.2">
      <c r="B7" s="167">
        <v>3</v>
      </c>
      <c r="C7" s="168" t="s">
        <v>125</v>
      </c>
      <c r="D7" s="168" t="s">
        <v>126</v>
      </c>
      <c r="E7" s="169" t="s">
        <v>127</v>
      </c>
    </row>
    <row r="8" spans="2:6" x14ac:dyDescent="0.2">
      <c r="B8" s="167">
        <v>4</v>
      </c>
      <c r="C8" s="168" t="s">
        <v>128</v>
      </c>
      <c r="D8" s="168" t="s">
        <v>129</v>
      </c>
      <c r="E8" s="169" t="s">
        <v>130</v>
      </c>
    </row>
    <row r="9" spans="2:6" x14ac:dyDescent="0.2">
      <c r="B9" s="167">
        <v>5</v>
      </c>
      <c r="C9" s="168" t="s">
        <v>137</v>
      </c>
      <c r="D9" s="168" t="s">
        <v>133</v>
      </c>
      <c r="E9" s="169" t="s">
        <v>136</v>
      </c>
    </row>
    <row r="10" spans="2:6" x14ac:dyDescent="0.2">
      <c r="B10" s="167">
        <v>6</v>
      </c>
      <c r="C10" s="168" t="s">
        <v>104</v>
      </c>
      <c r="D10" s="168" t="s">
        <v>134</v>
      </c>
      <c r="E10" s="169" t="s">
        <v>135</v>
      </c>
    </row>
    <row r="11" spans="2:6" x14ac:dyDescent="0.2">
      <c r="B11" s="167"/>
      <c r="C11" s="168"/>
      <c r="D11" s="168"/>
      <c r="E11" s="169"/>
    </row>
    <row r="12" spans="2:6" x14ac:dyDescent="0.2">
      <c r="B12" s="167"/>
      <c r="C12" s="168"/>
      <c r="D12" s="168"/>
      <c r="E12" s="169"/>
    </row>
    <row r="13" spans="2:6" x14ac:dyDescent="0.2">
      <c r="B13" s="167"/>
      <c r="C13" s="168"/>
      <c r="D13" s="168"/>
      <c r="E13" s="169"/>
    </row>
    <row r="14" spans="2:6" x14ac:dyDescent="0.2">
      <c r="B14" s="167"/>
      <c r="C14" s="168"/>
      <c r="D14" s="168"/>
      <c r="E14" s="169"/>
    </row>
    <row r="15" spans="2:6" x14ac:dyDescent="0.2">
      <c r="B15" s="167"/>
      <c r="C15" s="168"/>
      <c r="D15" s="168"/>
      <c r="E15" s="169"/>
    </row>
    <row r="16" spans="2:6" x14ac:dyDescent="0.2">
      <c r="B16" s="167"/>
      <c r="C16" s="168"/>
      <c r="D16" s="168"/>
      <c r="E16" s="169"/>
    </row>
    <row r="17" spans="2:5" x14ac:dyDescent="0.2">
      <c r="B17" s="167"/>
      <c r="C17" s="168"/>
      <c r="D17" s="168"/>
      <c r="E17" s="169"/>
    </row>
    <row r="18" spans="2:5" x14ac:dyDescent="0.2">
      <c r="B18" s="167"/>
      <c r="C18" s="168"/>
      <c r="D18" s="168"/>
      <c r="E18" s="169"/>
    </row>
    <row r="19" spans="2:5" x14ac:dyDescent="0.2">
      <c r="B19" s="167"/>
      <c r="C19" s="168"/>
      <c r="D19" s="168"/>
      <c r="E19" s="169"/>
    </row>
    <row r="20" spans="2:5" x14ac:dyDescent="0.2">
      <c r="B20" s="167"/>
      <c r="C20" s="168"/>
      <c r="D20" s="168"/>
      <c r="E20" s="169"/>
    </row>
    <row r="21" spans="2:5" x14ac:dyDescent="0.2">
      <c r="B21" s="167"/>
      <c r="C21" s="168"/>
      <c r="D21" s="168"/>
      <c r="E21" s="169"/>
    </row>
    <row r="22" spans="2:5" x14ac:dyDescent="0.2">
      <c r="B22" s="167"/>
      <c r="C22" s="168"/>
      <c r="D22" s="168"/>
      <c r="E22" s="169"/>
    </row>
    <row r="23" spans="2:5" x14ac:dyDescent="0.2">
      <c r="B23" s="167"/>
      <c r="C23" s="168"/>
      <c r="D23" s="168"/>
      <c r="E23" s="169"/>
    </row>
    <row r="24" spans="2:5" x14ac:dyDescent="0.2">
      <c r="B24" s="167"/>
      <c r="C24" s="168"/>
      <c r="D24" s="168"/>
      <c r="E24" s="169"/>
    </row>
    <row r="25" spans="2:5" x14ac:dyDescent="0.2">
      <c r="B25" s="167"/>
      <c r="C25" s="168"/>
      <c r="D25" s="168"/>
      <c r="E25" s="169"/>
    </row>
    <row r="26" spans="2:5" x14ac:dyDescent="0.2">
      <c r="B26" s="167"/>
      <c r="C26" s="168"/>
      <c r="D26" s="168"/>
      <c r="E26" s="169"/>
    </row>
    <row r="27" spans="2:5" x14ac:dyDescent="0.2">
      <c r="B27" s="167"/>
      <c r="C27" s="168"/>
      <c r="D27" s="168"/>
      <c r="E27" s="169"/>
    </row>
    <row r="28" spans="2:5" x14ac:dyDescent="0.2">
      <c r="B28" s="167"/>
      <c r="C28" s="168"/>
      <c r="D28" s="168"/>
      <c r="E28" s="169"/>
    </row>
    <row r="29" spans="2:5" x14ac:dyDescent="0.2">
      <c r="B29" s="167"/>
      <c r="C29" s="168"/>
      <c r="D29" s="168"/>
      <c r="E29" s="169"/>
    </row>
    <row r="30" spans="2:5" ht="13.5" thickBot="1" x14ac:dyDescent="0.25">
      <c r="B30" s="14"/>
      <c r="C30" s="170"/>
      <c r="D30" s="170"/>
      <c r="E30" s="171"/>
    </row>
    <row r="33" spans="2:2" x14ac:dyDescent="0.2">
      <c r="B33" s="163"/>
    </row>
    <row r="34" spans="2:2" x14ac:dyDescent="0.2">
      <c r="B34" s="163"/>
    </row>
    <row r="35" spans="2:2" x14ac:dyDescent="0.2">
      <c r="B35" s="163"/>
    </row>
  </sheetData>
  <phoneticPr fontId="3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"/>
  <sheetViews>
    <sheetView workbookViewId="0"/>
  </sheetViews>
  <sheetFormatPr baseColWidth="10" defaultRowHeight="12.75" x14ac:dyDescent="0.2"/>
  <sheetData>
    <row r="1" spans="1:2" x14ac:dyDescent="0.2">
      <c r="A1" t="s">
        <v>150</v>
      </c>
      <c r="B1" t="s">
        <v>151</v>
      </c>
    </row>
    <row r="2" spans="1:2" x14ac:dyDescent="0.2">
      <c r="A2" t="s">
        <v>152</v>
      </c>
      <c r="B2" t="s">
        <v>153</v>
      </c>
    </row>
  </sheetData>
  <phoneticPr fontId="33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C0657C80C9EB42A8AE8AF1E32C18B5" ma:contentTypeVersion="18" ma:contentTypeDescription="Ein neues Dokument erstellen." ma:contentTypeScope="" ma:versionID="3e188bdc578f972c336e77c4d96323e4">
  <xsd:schema xmlns:xsd="http://www.w3.org/2001/XMLSchema" xmlns:xs="http://www.w3.org/2001/XMLSchema" xmlns:p="http://schemas.microsoft.com/office/2006/metadata/properties" xmlns:ns2="bbb3f655-f267-4a84-b742-532fbc77d0ab" xmlns:ns3="f5f3c0c8-cb47-4a26-91a1-a44bb4539247" targetNamespace="http://schemas.microsoft.com/office/2006/metadata/properties" ma:root="true" ma:fieldsID="56523d8b873b2219b7ed522b3fd85c68" ns2:_="" ns3:_="">
    <xsd:import namespace="bbb3f655-f267-4a84-b742-532fbc77d0ab"/>
    <xsd:import namespace="f5f3c0c8-cb47-4a26-91a1-a44bb4539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3f655-f267-4a84-b742-532fbc77d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4a64a0-82bc-48a6-9867-8208b236f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3c0c8-cb47-4a26-91a1-a44bb4539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bcdc34-3acf-42b1-abfa-b6ef944057a8}" ma:internalName="TaxCatchAll" ma:showField="CatchAllData" ma:web="f5f3c0c8-cb47-4a26-91a1-a44bb4539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f3c0c8-cb47-4a26-91a1-a44bb4539247" xsi:nil="true"/>
    <lcf76f155ced4ddcb4097134ff3c332f xmlns="bbb3f655-f267-4a84-b742-532fbc77d0a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7A7470-4EF1-4710-AC1F-8FDBB535EA9F}"/>
</file>

<file path=customXml/itemProps2.xml><?xml version="1.0" encoding="utf-8"?>
<ds:datastoreItem xmlns:ds="http://schemas.openxmlformats.org/officeDocument/2006/customXml" ds:itemID="{E3764397-CFAA-40E0-AFC4-01FE4EE0ACB0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f5f3c0c8-cb47-4a26-91a1-a44bb4539247"/>
    <ds:schemaRef ds:uri="bbb3f655-f267-4a84-b742-532fbc77d0a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B76571-F484-42F3-89BD-F6E6945AAA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17</vt:i4>
      </vt:variant>
    </vt:vector>
  </HeadingPairs>
  <TitlesOfParts>
    <vt:vector size="25" baseType="lpstr">
      <vt:lpstr>Startseite</vt:lpstr>
      <vt:lpstr>Eingaben</vt:lpstr>
      <vt:lpstr>Berechnung</vt:lpstr>
      <vt:lpstr>Beispiel</vt:lpstr>
      <vt:lpstr>Hilfe</vt:lpstr>
      <vt:lpstr>Stammdaten</vt:lpstr>
      <vt:lpstr>Pauschalen</vt:lpstr>
      <vt:lpstr>Parameter_Intern</vt:lpstr>
      <vt:lpstr>BeispielB2</vt:lpstr>
      <vt:lpstr>BerechnungB2</vt:lpstr>
      <vt:lpstr>Beispiel!Druckbereich</vt:lpstr>
      <vt:lpstr>Berechnung!Druckbereich</vt:lpstr>
      <vt:lpstr>Eingaben!Druckbereich</vt:lpstr>
      <vt:lpstr>Hilfe!Druckbereich</vt:lpstr>
      <vt:lpstr>Pauschalen!Druckbereich</vt:lpstr>
      <vt:lpstr>Stammdaten!Druckbereich</vt:lpstr>
      <vt:lpstr>Startseite!Druckbereich</vt:lpstr>
      <vt:lpstr>Pauschalen!Drucktitel</vt:lpstr>
      <vt:lpstr>Beispiel!EingabenB2</vt:lpstr>
      <vt:lpstr>EingabenB2</vt:lpstr>
      <vt:lpstr>HilfeB3</vt:lpstr>
      <vt:lpstr>PauschalenE4</vt:lpstr>
      <vt:lpstr>StammdatenB3</vt:lpstr>
      <vt:lpstr>StartG10</vt:lpstr>
      <vt:lpstr>Startseite!Startseite</vt:lpstr>
    </vt:vector>
  </TitlesOfParts>
  <Company>VNR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</dc:title>
  <dc:creator>Michael Konetzny</dc:creator>
  <cp:keywords>Reisekosten Tools</cp:keywords>
  <cp:lastModifiedBy>Konetzny, Michael</cp:lastModifiedBy>
  <cp:lastPrinted>2024-12-19T14:45:35Z</cp:lastPrinted>
  <dcterms:created xsi:type="dcterms:W3CDTF">2009-01-31T13:41:13Z</dcterms:created>
  <dcterms:modified xsi:type="dcterms:W3CDTF">2024-12-19T14:57:02Z</dcterms:modified>
  <cp:category>Tools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TRUE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Kostenvergleich_PEO.xls</vt:lpwstr>
  </property>
  <property fmtid="{D5CDD505-2E9C-101B-9397-08002B2CF9AE}" pid="5" name="Jet Reports Design Mode Active">
    <vt:bool>true</vt:bool>
  </property>
  <property fmtid="{D5CDD505-2E9C-101B-9397-08002B2CF9AE}" pid="6" name="ContentTypeId">
    <vt:lpwstr>0x010100E9C0657C80C9EB42A8AE8AF1E32C18B5</vt:lpwstr>
  </property>
  <property fmtid="{D5CDD505-2E9C-101B-9397-08002B2CF9AE}" pid="7" name="MediaServiceImageTags">
    <vt:lpwstr/>
  </property>
</Properties>
</file>